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olors9.xml" ContentType="application/vnd.ms-office.chartcolorstyle+xml"/>
  <Override PartName="/xl/charts/style9.xml" ContentType="application/vnd.ms-office.chartstyle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worksheets/sheet5.xml" ContentType="application/vnd.openxmlformats-officedocument.spreadsheetml.worksheet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3.xml" ContentType="application/vnd.ms-office.chart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3.xml" ContentType="application/vnd.ms-office.chartcolorstyle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olors4.xml" ContentType="application/vnd.ms-office.chartcolorstyle+xml"/>
  <Override PartName="/xl/charts/style4.xml" ContentType="application/vnd.ms-office.chart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380" yWindow="380" windowWidth="17280" windowHeight="9070" tabRatio="735" firstSheet="1" activeTab="1"/>
  </bookViews>
  <sheets>
    <sheet name="Esempio_1" sheetId="1" state="hidden" r:id="rId1"/>
    <sheet name="Intro" sheetId="9" r:id="rId2"/>
    <sheet name="1.i Finanziamento membri" sheetId="2" r:id="rId3"/>
    <sheet name="1.ii Finanziamento membri+debt" sheetId="7" r:id="rId4"/>
    <sheet name="2. Finanziamento Terzo" sheetId="3" r:id="rId5"/>
    <sheet name="3. Finanziamento PNRR" sheetId="8" r:id="rId6"/>
    <sheet name="Curva prezzo EE" sheetId="6" r:id="rId7"/>
    <sheet name="Esempio_2_RSE_PNRR" sheetId="5" state="hidden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8" i="5" l="1"/>
  <c r="M38" i="5"/>
  <c r="E38" i="5"/>
  <c r="W36" i="5"/>
  <c r="V36" i="5"/>
  <c r="U36" i="5"/>
  <c r="U35" i="5" s="1"/>
  <c r="T36" i="5"/>
  <c r="T35" i="5" s="1"/>
  <c r="S36" i="5"/>
  <c r="R36" i="5"/>
  <c r="Q36" i="5"/>
  <c r="P36" i="5"/>
  <c r="O36" i="5"/>
  <c r="N36" i="5"/>
  <c r="M36" i="5"/>
  <c r="M35" i="5" s="1"/>
  <c r="L36" i="5"/>
  <c r="L35" i="5" s="1"/>
  <c r="K36" i="5"/>
  <c r="J36" i="5"/>
  <c r="I36" i="5"/>
  <c r="H36" i="5"/>
  <c r="G36" i="5"/>
  <c r="F36" i="5"/>
  <c r="E36" i="5"/>
  <c r="E35" i="5" s="1"/>
  <c r="D36" i="5"/>
  <c r="D35" i="5" s="1"/>
  <c r="W35" i="5"/>
  <c r="V35" i="5"/>
  <c r="S35" i="5"/>
  <c r="R35" i="5"/>
  <c r="Q35" i="5"/>
  <c r="P35" i="5"/>
  <c r="O35" i="5"/>
  <c r="N35" i="5"/>
  <c r="K35" i="5"/>
  <c r="J35" i="5"/>
  <c r="I35" i="5"/>
  <c r="H35" i="5"/>
  <c r="G35" i="5"/>
  <c r="F35" i="5"/>
  <c r="D26" i="5"/>
  <c r="D32" i="5" s="1"/>
  <c r="D25" i="5"/>
  <c r="E25" i="5" s="1"/>
  <c r="H18" i="5"/>
  <c r="E18" i="5"/>
  <c r="T38" i="5" s="1"/>
  <c r="D13" i="5"/>
  <c r="D14" i="5" s="1"/>
  <c r="L7" i="5"/>
  <c r="L8" i="5" s="1"/>
  <c r="L5" i="5"/>
  <c r="J5" i="5"/>
  <c r="E20" i="6"/>
  <c r="E19" i="6"/>
  <c r="A12" i="6"/>
  <c r="A13" i="6" s="1"/>
  <c r="A14" i="6" s="1"/>
  <c r="A15" i="6" s="1"/>
  <c r="A16" i="6" s="1"/>
  <c r="A17" i="6" s="1"/>
  <c r="A18" i="6" s="1"/>
  <c r="A10" i="6"/>
  <c r="A11" i="6" s="1"/>
  <c r="W62" i="8"/>
  <c r="W75" i="8" s="1"/>
  <c r="V62" i="8"/>
  <c r="V75" i="8" s="1"/>
  <c r="U62" i="8"/>
  <c r="U75" i="8" s="1"/>
  <c r="T62" i="8"/>
  <c r="T75" i="8" s="1"/>
  <c r="S62" i="8"/>
  <c r="S75" i="8" s="1"/>
  <c r="R62" i="8"/>
  <c r="R75" i="8" s="1"/>
  <c r="Q62" i="8"/>
  <c r="Q75" i="8" s="1"/>
  <c r="P62" i="8"/>
  <c r="P75" i="8" s="1"/>
  <c r="W47" i="8"/>
  <c r="W76" i="8" s="1"/>
  <c r="V47" i="8"/>
  <c r="V76" i="8" s="1"/>
  <c r="U47" i="8"/>
  <c r="U76" i="8" s="1"/>
  <c r="T47" i="8"/>
  <c r="T76" i="8" s="1"/>
  <c r="S47" i="8"/>
  <c r="S76" i="8" s="1"/>
  <c r="R47" i="8"/>
  <c r="R76" i="8" s="1"/>
  <c r="Q47" i="8"/>
  <c r="Q76" i="8" s="1"/>
  <c r="P47" i="8"/>
  <c r="P76" i="8" s="1"/>
  <c r="W43" i="8"/>
  <c r="V43" i="8"/>
  <c r="U43" i="8"/>
  <c r="U42" i="8" s="1"/>
  <c r="T43" i="8"/>
  <c r="S43" i="8"/>
  <c r="R43" i="8"/>
  <c r="Q43" i="8"/>
  <c r="P43" i="8"/>
  <c r="O43" i="8"/>
  <c r="N43" i="8"/>
  <c r="M43" i="8"/>
  <c r="M42" i="8" s="1"/>
  <c r="L43" i="8"/>
  <c r="K43" i="8"/>
  <c r="J43" i="8"/>
  <c r="I43" i="8"/>
  <c r="H43" i="8"/>
  <c r="G43" i="8"/>
  <c r="F43" i="8"/>
  <c r="E43" i="8"/>
  <c r="E42" i="8" s="1"/>
  <c r="D43" i="8"/>
  <c r="W42" i="8"/>
  <c r="V42" i="8"/>
  <c r="T42" i="8"/>
  <c r="S42" i="8"/>
  <c r="R42" i="8"/>
  <c r="Q42" i="8"/>
  <c r="P42" i="8"/>
  <c r="O42" i="8"/>
  <c r="N42" i="8"/>
  <c r="L42" i="8"/>
  <c r="K42" i="8"/>
  <c r="J42" i="8"/>
  <c r="I42" i="8"/>
  <c r="H42" i="8"/>
  <c r="G42" i="8"/>
  <c r="F42" i="8"/>
  <c r="D42" i="8"/>
  <c r="E33" i="8"/>
  <c r="E39" i="8" s="1"/>
  <c r="E32" i="8"/>
  <c r="F32" i="8" s="1"/>
  <c r="D32" i="8"/>
  <c r="D33" i="8" s="1"/>
  <c r="D39" i="8" s="1"/>
  <c r="E21" i="8"/>
  <c r="M45" i="8" s="1"/>
  <c r="M56" i="8" s="1"/>
  <c r="D17" i="8"/>
  <c r="V84" i="3"/>
  <c r="N84" i="3"/>
  <c r="F84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W81" i="3"/>
  <c r="U81" i="3"/>
  <c r="T81" i="3"/>
  <c r="S81" i="3"/>
  <c r="R81" i="3"/>
  <c r="Q81" i="3"/>
  <c r="P81" i="3"/>
  <c r="O81" i="3"/>
  <c r="M81" i="3"/>
  <c r="L81" i="3"/>
  <c r="K81" i="3"/>
  <c r="J81" i="3"/>
  <c r="I81" i="3"/>
  <c r="H81" i="3"/>
  <c r="G81" i="3"/>
  <c r="E81" i="3"/>
  <c r="D81" i="3"/>
  <c r="W80" i="3"/>
  <c r="U80" i="3"/>
  <c r="T80" i="3"/>
  <c r="S80" i="3"/>
  <c r="R80" i="3"/>
  <c r="Q80" i="3"/>
  <c r="P80" i="3"/>
  <c r="O80" i="3"/>
  <c r="M80" i="3"/>
  <c r="L80" i="3"/>
  <c r="K80" i="3"/>
  <c r="J80" i="3"/>
  <c r="I80" i="3"/>
  <c r="H80" i="3"/>
  <c r="G80" i="3"/>
  <c r="E80" i="3"/>
  <c r="D80" i="3"/>
  <c r="W79" i="3"/>
  <c r="V79" i="3"/>
  <c r="U79" i="3"/>
  <c r="T79" i="3"/>
  <c r="S79" i="3"/>
  <c r="R79" i="3"/>
  <c r="R41" i="3" s="1"/>
  <c r="Q79" i="3"/>
  <c r="P79" i="3"/>
  <c r="O79" i="3"/>
  <c r="N79" i="3"/>
  <c r="M79" i="3"/>
  <c r="L79" i="3"/>
  <c r="K79" i="3"/>
  <c r="J79" i="3"/>
  <c r="J41" i="3" s="1"/>
  <c r="I79" i="3"/>
  <c r="H79" i="3"/>
  <c r="G79" i="3"/>
  <c r="F79" i="3"/>
  <c r="E79" i="3"/>
  <c r="D79" i="3"/>
  <c r="C53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W42" i="3"/>
  <c r="U42" i="3"/>
  <c r="T42" i="3"/>
  <c r="S42" i="3"/>
  <c r="R42" i="3"/>
  <c r="Q42" i="3"/>
  <c r="P42" i="3"/>
  <c r="O42" i="3"/>
  <c r="M42" i="3"/>
  <c r="L42" i="3"/>
  <c r="K42" i="3"/>
  <c r="J42" i="3"/>
  <c r="I42" i="3"/>
  <c r="H42" i="3"/>
  <c r="G42" i="3"/>
  <c r="E42" i="3"/>
  <c r="D42" i="3"/>
  <c r="W41" i="3"/>
  <c r="V41" i="3"/>
  <c r="U41" i="3"/>
  <c r="T41" i="3"/>
  <c r="S41" i="3"/>
  <c r="S40" i="3" s="1"/>
  <c r="Q41" i="3"/>
  <c r="P41" i="3"/>
  <c r="O41" i="3"/>
  <c r="N41" i="3"/>
  <c r="M41" i="3"/>
  <c r="L41" i="3"/>
  <c r="K41" i="3"/>
  <c r="K40" i="3" s="1"/>
  <c r="I41" i="3"/>
  <c r="H41" i="3"/>
  <c r="G41" i="3"/>
  <c r="F41" i="3"/>
  <c r="E41" i="3"/>
  <c r="D41" i="3"/>
  <c r="W40" i="3"/>
  <c r="U40" i="3"/>
  <c r="T40" i="3"/>
  <c r="R40" i="3"/>
  <c r="Q40" i="3"/>
  <c r="P40" i="3"/>
  <c r="O40" i="3"/>
  <c r="M40" i="3"/>
  <c r="L40" i="3"/>
  <c r="J40" i="3"/>
  <c r="I40" i="3"/>
  <c r="H40" i="3"/>
  <c r="G40" i="3"/>
  <c r="E40" i="3"/>
  <c r="D40" i="3"/>
  <c r="D31" i="3"/>
  <c r="D78" i="3" s="1"/>
  <c r="D77" i="3" s="1"/>
  <c r="D83" i="3" s="1"/>
  <c r="E21" i="3"/>
  <c r="C93" i="3" s="1"/>
  <c r="D17" i="3"/>
  <c r="R74" i="7"/>
  <c r="V73" i="7"/>
  <c r="U73" i="7"/>
  <c r="W60" i="7"/>
  <c r="W73" i="7" s="1"/>
  <c r="V60" i="7"/>
  <c r="U60" i="7"/>
  <c r="T60" i="7"/>
  <c r="T73" i="7" s="1"/>
  <c r="S60" i="7"/>
  <c r="S73" i="7" s="1"/>
  <c r="R60" i="7"/>
  <c r="R73" i="7" s="1"/>
  <c r="Q60" i="7"/>
  <c r="Q73" i="7" s="1"/>
  <c r="P60" i="7"/>
  <c r="P73" i="7" s="1"/>
  <c r="W45" i="7"/>
  <c r="W74" i="7" s="1"/>
  <c r="V45" i="7"/>
  <c r="V74" i="7" s="1"/>
  <c r="U45" i="7"/>
  <c r="U74" i="7" s="1"/>
  <c r="T45" i="7"/>
  <c r="T74" i="7" s="1"/>
  <c r="S45" i="7"/>
  <c r="S74" i="7" s="1"/>
  <c r="R45" i="7"/>
  <c r="Q45" i="7"/>
  <c r="Q74" i="7" s="1"/>
  <c r="P45" i="7"/>
  <c r="P74" i="7" s="1"/>
  <c r="S43" i="7"/>
  <c r="S54" i="7" s="1"/>
  <c r="W41" i="7"/>
  <c r="V41" i="7"/>
  <c r="U41" i="7"/>
  <c r="T41" i="7"/>
  <c r="S41" i="7"/>
  <c r="S40" i="7" s="1"/>
  <c r="R41" i="7"/>
  <c r="R40" i="7" s="1"/>
  <c r="Q41" i="7"/>
  <c r="P41" i="7"/>
  <c r="O41" i="7"/>
  <c r="N41" i="7"/>
  <c r="M41" i="7"/>
  <c r="L41" i="7"/>
  <c r="K41" i="7"/>
  <c r="K40" i="7" s="1"/>
  <c r="J41" i="7"/>
  <c r="J40" i="7" s="1"/>
  <c r="I41" i="7"/>
  <c r="H41" i="7"/>
  <c r="G41" i="7"/>
  <c r="F41" i="7"/>
  <c r="E41" i="7"/>
  <c r="D41" i="7"/>
  <c r="W40" i="7"/>
  <c r="V40" i="7"/>
  <c r="U40" i="7"/>
  <c r="T40" i="7"/>
  <c r="Q40" i="7"/>
  <c r="P40" i="7"/>
  <c r="O40" i="7"/>
  <c r="N40" i="7"/>
  <c r="M40" i="7"/>
  <c r="L40" i="7"/>
  <c r="I40" i="7"/>
  <c r="H40" i="7"/>
  <c r="G40" i="7"/>
  <c r="F40" i="7"/>
  <c r="E40" i="7"/>
  <c r="D40" i="7"/>
  <c r="E32" i="7"/>
  <c r="E38" i="7" s="1"/>
  <c r="D32" i="7"/>
  <c r="E31" i="7"/>
  <c r="E37" i="7" s="1"/>
  <c r="D31" i="7"/>
  <c r="D37" i="7" s="1"/>
  <c r="E21" i="7"/>
  <c r="C57" i="7" s="1"/>
  <c r="D17" i="7"/>
  <c r="W37" i="2"/>
  <c r="W36" i="2" s="1"/>
  <c r="V37" i="2"/>
  <c r="U37" i="2"/>
  <c r="U36" i="2" s="1"/>
  <c r="T37" i="2"/>
  <c r="S37" i="2"/>
  <c r="R37" i="2"/>
  <c r="Q37" i="2"/>
  <c r="P37" i="2"/>
  <c r="O37" i="2"/>
  <c r="O36" i="2" s="1"/>
  <c r="N37" i="2"/>
  <c r="M37" i="2"/>
  <c r="M36" i="2" s="1"/>
  <c r="L37" i="2"/>
  <c r="K37" i="2"/>
  <c r="J37" i="2"/>
  <c r="I37" i="2"/>
  <c r="H37" i="2"/>
  <c r="G37" i="2"/>
  <c r="G36" i="2" s="1"/>
  <c r="F37" i="2"/>
  <c r="E37" i="2"/>
  <c r="E36" i="2" s="1"/>
  <c r="D37" i="2"/>
  <c r="V36" i="2"/>
  <c r="T36" i="2"/>
  <c r="S36" i="2"/>
  <c r="R36" i="2"/>
  <c r="Q36" i="2"/>
  <c r="P36" i="2"/>
  <c r="N36" i="2"/>
  <c r="L36" i="2"/>
  <c r="K36" i="2"/>
  <c r="J36" i="2"/>
  <c r="I36" i="2"/>
  <c r="H36" i="2"/>
  <c r="F36" i="2"/>
  <c r="D36" i="2"/>
  <c r="D27" i="2"/>
  <c r="D33" i="2" s="1"/>
  <c r="E21" i="2"/>
  <c r="T39" i="2" s="1"/>
  <c r="D17" i="2"/>
  <c r="W34" i="1"/>
  <c r="V34" i="1"/>
  <c r="V33" i="1" s="1"/>
  <c r="U34" i="1"/>
  <c r="U33" i="1" s="1"/>
  <c r="T34" i="1"/>
  <c r="T33" i="1" s="1"/>
  <c r="S34" i="1"/>
  <c r="S33" i="1" s="1"/>
  <c r="R34" i="1"/>
  <c r="Q34" i="1"/>
  <c r="P34" i="1"/>
  <c r="O34" i="1"/>
  <c r="N34" i="1"/>
  <c r="N33" i="1" s="1"/>
  <c r="M34" i="1"/>
  <c r="M33" i="1" s="1"/>
  <c r="L34" i="1"/>
  <c r="L33" i="1" s="1"/>
  <c r="K34" i="1"/>
  <c r="K33" i="1" s="1"/>
  <c r="J34" i="1"/>
  <c r="I34" i="1"/>
  <c r="H34" i="1"/>
  <c r="G34" i="1"/>
  <c r="F34" i="1"/>
  <c r="F33" i="1" s="1"/>
  <c r="E34" i="1"/>
  <c r="E33" i="1" s="1"/>
  <c r="D34" i="1"/>
  <c r="D33" i="1" s="1"/>
  <c r="W33" i="1"/>
  <c r="R33" i="1"/>
  <c r="Q33" i="1"/>
  <c r="P33" i="1"/>
  <c r="O33" i="1"/>
  <c r="J33" i="1"/>
  <c r="I33" i="1"/>
  <c r="H33" i="1"/>
  <c r="G33" i="1"/>
  <c r="D26" i="1"/>
  <c r="D32" i="1" s="1"/>
  <c r="D24" i="1"/>
  <c r="D25" i="1" s="1"/>
  <c r="E18" i="1"/>
  <c r="I36" i="1" s="1"/>
  <c r="D13" i="1"/>
  <c r="D14" i="1" s="1"/>
  <c r="L5" i="1"/>
  <c r="L7" i="1" s="1"/>
  <c r="L8" i="1" s="1"/>
  <c r="J5" i="1"/>
  <c r="D31" i="1" l="1"/>
  <c r="K36" i="1"/>
  <c r="D30" i="1"/>
  <c r="D29" i="1" s="1"/>
  <c r="D35" i="1" s="1"/>
  <c r="D36" i="1"/>
  <c r="L36" i="1"/>
  <c r="C88" i="7"/>
  <c r="C75" i="7"/>
  <c r="E36" i="1"/>
  <c r="O36" i="1"/>
  <c r="E24" i="1"/>
  <c r="F36" i="1"/>
  <c r="G36" i="1"/>
  <c r="H36" i="1"/>
  <c r="Q36" i="1"/>
  <c r="C45" i="1"/>
  <c r="C46" i="1" s="1"/>
  <c r="P36" i="1"/>
  <c r="W36" i="1"/>
  <c r="V36" i="1"/>
  <c r="N36" i="1"/>
  <c r="U36" i="1"/>
  <c r="M36" i="1"/>
  <c r="T36" i="1"/>
  <c r="S36" i="1"/>
  <c r="R36" i="1"/>
  <c r="J36" i="1"/>
  <c r="E39" i="2"/>
  <c r="M39" i="2"/>
  <c r="U39" i="2"/>
  <c r="F39" i="2"/>
  <c r="N39" i="2"/>
  <c r="V39" i="2"/>
  <c r="D38" i="7"/>
  <c r="D28" i="2"/>
  <c r="D34" i="2" s="1"/>
  <c r="G39" i="2"/>
  <c r="O39" i="2"/>
  <c r="W39" i="2"/>
  <c r="C70" i="7"/>
  <c r="R43" i="7"/>
  <c r="R54" i="7" s="1"/>
  <c r="J43" i="7"/>
  <c r="J54" i="7" s="1"/>
  <c r="Q43" i="7"/>
  <c r="Q54" i="7" s="1"/>
  <c r="I43" i="7"/>
  <c r="I54" i="7" s="1"/>
  <c r="P43" i="7"/>
  <c r="P54" i="7" s="1"/>
  <c r="H43" i="7"/>
  <c r="H54" i="7" s="1"/>
  <c r="W43" i="7"/>
  <c r="W54" i="7" s="1"/>
  <c r="O43" i="7"/>
  <c r="O54" i="7" s="1"/>
  <c r="G43" i="7"/>
  <c r="G54" i="7" s="1"/>
  <c r="V43" i="7"/>
  <c r="V54" i="7" s="1"/>
  <c r="N43" i="7"/>
  <c r="N54" i="7" s="1"/>
  <c r="F43" i="7"/>
  <c r="F54" i="7" s="1"/>
  <c r="U43" i="7"/>
  <c r="U54" i="7" s="1"/>
  <c r="M43" i="7"/>
  <c r="M54" i="7" s="1"/>
  <c r="E43" i="7"/>
  <c r="E54" i="7" s="1"/>
  <c r="C59" i="7"/>
  <c r="T43" i="7"/>
  <c r="T54" i="7" s="1"/>
  <c r="L43" i="7"/>
  <c r="L54" i="7" s="1"/>
  <c r="D43" i="7"/>
  <c r="D54" i="7" s="1"/>
  <c r="H39" i="2"/>
  <c r="P39" i="2"/>
  <c r="C48" i="2"/>
  <c r="C49" i="2" s="1"/>
  <c r="D28" i="7"/>
  <c r="I39" i="2"/>
  <c r="Q39" i="2"/>
  <c r="J39" i="2"/>
  <c r="R39" i="2"/>
  <c r="C57" i="2"/>
  <c r="K39" i="2"/>
  <c r="S39" i="2"/>
  <c r="E47" i="7"/>
  <c r="E69" i="7" s="1"/>
  <c r="D33" i="7"/>
  <c r="E27" i="2"/>
  <c r="D29" i="2"/>
  <c r="D39" i="2"/>
  <c r="L39" i="2"/>
  <c r="F31" i="7"/>
  <c r="E33" i="7"/>
  <c r="E39" i="7" s="1"/>
  <c r="E36" i="7" s="1"/>
  <c r="E42" i="7" s="1"/>
  <c r="K43" i="7"/>
  <c r="K54" i="7" s="1"/>
  <c r="F81" i="3"/>
  <c r="F42" i="3"/>
  <c r="F40" i="3" s="1"/>
  <c r="N81" i="3"/>
  <c r="N42" i="3"/>
  <c r="V81" i="3"/>
  <c r="V42" i="3"/>
  <c r="V40" i="3"/>
  <c r="D91" i="3"/>
  <c r="D85" i="3"/>
  <c r="N40" i="3"/>
  <c r="F80" i="3"/>
  <c r="N80" i="3"/>
  <c r="V80" i="3"/>
  <c r="C94" i="3"/>
  <c r="G84" i="3"/>
  <c r="O84" i="3"/>
  <c r="W84" i="3"/>
  <c r="D33" i="3"/>
  <c r="D39" i="3" s="1"/>
  <c r="H84" i="3"/>
  <c r="P84" i="3"/>
  <c r="E31" i="3"/>
  <c r="C54" i="3"/>
  <c r="I84" i="3"/>
  <c r="Q84" i="3"/>
  <c r="E45" i="8"/>
  <c r="E56" i="8" s="1"/>
  <c r="J84" i="3"/>
  <c r="R84" i="3"/>
  <c r="K84" i="3"/>
  <c r="S84" i="3"/>
  <c r="C72" i="8"/>
  <c r="C61" i="8"/>
  <c r="T45" i="8"/>
  <c r="T56" i="8" s="1"/>
  <c r="L45" i="8"/>
  <c r="L56" i="8" s="1"/>
  <c r="D45" i="8"/>
  <c r="D56" i="8" s="1"/>
  <c r="C59" i="8"/>
  <c r="S45" i="8"/>
  <c r="S56" i="8" s="1"/>
  <c r="K45" i="8"/>
  <c r="K56" i="8" s="1"/>
  <c r="R45" i="8"/>
  <c r="R56" i="8" s="1"/>
  <c r="J45" i="8"/>
  <c r="J56" i="8" s="1"/>
  <c r="Q45" i="8"/>
  <c r="Q56" i="8" s="1"/>
  <c r="I45" i="8"/>
  <c r="I56" i="8" s="1"/>
  <c r="P45" i="8"/>
  <c r="P56" i="8" s="1"/>
  <c r="H45" i="8"/>
  <c r="H56" i="8" s="1"/>
  <c r="W45" i="8"/>
  <c r="W56" i="8" s="1"/>
  <c r="O45" i="8"/>
  <c r="O56" i="8" s="1"/>
  <c r="G45" i="8"/>
  <c r="G56" i="8" s="1"/>
  <c r="V45" i="8"/>
  <c r="V56" i="8" s="1"/>
  <c r="N45" i="8"/>
  <c r="N56" i="8" s="1"/>
  <c r="F45" i="8"/>
  <c r="F56" i="8" s="1"/>
  <c r="D29" i="8"/>
  <c r="U45" i="8"/>
  <c r="U56" i="8" s="1"/>
  <c r="D32" i="3"/>
  <c r="D38" i="3" s="1"/>
  <c r="D36" i="3" s="1"/>
  <c r="D43" i="3" s="1"/>
  <c r="D84" i="3"/>
  <c r="L84" i="3"/>
  <c r="T84" i="3"/>
  <c r="E84" i="3"/>
  <c r="M84" i="3"/>
  <c r="U84" i="3"/>
  <c r="G32" i="8"/>
  <c r="F38" i="8"/>
  <c r="F34" i="8"/>
  <c r="F33" i="8"/>
  <c r="F39" i="8" s="1"/>
  <c r="F25" i="5"/>
  <c r="E31" i="5"/>
  <c r="E27" i="5"/>
  <c r="E33" i="5" s="1"/>
  <c r="E34" i="5" s="1"/>
  <c r="E26" i="5"/>
  <c r="E32" i="5" s="1"/>
  <c r="D34" i="8"/>
  <c r="D38" i="8"/>
  <c r="E34" i="8"/>
  <c r="E38" i="8"/>
  <c r="F38" i="5"/>
  <c r="N38" i="5"/>
  <c r="V38" i="5"/>
  <c r="G38" i="5"/>
  <c r="O38" i="5"/>
  <c r="W38" i="5"/>
  <c r="D27" i="5"/>
  <c r="D33" i="5" s="1"/>
  <c r="D34" i="5" s="1"/>
  <c r="D31" i="5"/>
  <c r="D30" i="5" s="1"/>
  <c r="D37" i="5" s="1"/>
  <c r="H38" i="5"/>
  <c r="P38" i="5"/>
  <c r="C47" i="5"/>
  <c r="C48" i="5" s="1"/>
  <c r="I38" i="5"/>
  <c r="Q38" i="5"/>
  <c r="J38" i="5"/>
  <c r="R38" i="5"/>
  <c r="K38" i="5"/>
  <c r="S38" i="5"/>
  <c r="D38" i="5"/>
  <c r="L38" i="5"/>
  <c r="E44" i="7" l="1"/>
  <c r="E68" i="7"/>
  <c r="E71" i="7" s="1"/>
  <c r="D45" i="5"/>
  <c r="D39" i="5"/>
  <c r="C74" i="8"/>
  <c r="C63" i="8"/>
  <c r="E40" i="8"/>
  <c r="E41" i="8"/>
  <c r="C55" i="8"/>
  <c r="C57" i="8" s="1"/>
  <c r="C73" i="8"/>
  <c r="C95" i="3"/>
  <c r="D95" i="3" s="1"/>
  <c r="D86" i="3"/>
  <c r="D92" i="3" s="1"/>
  <c r="D87" i="3"/>
  <c r="D88" i="3" s="1"/>
  <c r="E28" i="2"/>
  <c r="E34" i="2" s="1"/>
  <c r="E33" i="2"/>
  <c r="E29" i="2"/>
  <c r="E35" i="2" s="1"/>
  <c r="F27" i="2"/>
  <c r="C50" i="2"/>
  <c r="D49" i="8"/>
  <c r="D71" i="8" s="1"/>
  <c r="F40" i="8"/>
  <c r="F41" i="8"/>
  <c r="E78" i="3"/>
  <c r="E77" i="3" s="1"/>
  <c r="E83" i="3" s="1"/>
  <c r="E32" i="3"/>
  <c r="E38" i="3" s="1"/>
  <c r="F31" i="3"/>
  <c r="E33" i="3"/>
  <c r="E39" i="3" s="1"/>
  <c r="D94" i="3"/>
  <c r="C97" i="3" s="1"/>
  <c r="D39" i="7"/>
  <c r="D36" i="7" s="1"/>
  <c r="D42" i="7" s="1"/>
  <c r="D51" i="3"/>
  <c r="D53" i="3" s="1"/>
  <c r="D54" i="3" s="1"/>
  <c r="D45" i="3"/>
  <c r="D47" i="3" s="1"/>
  <c r="D48" i="3" s="1"/>
  <c r="E37" i="8"/>
  <c r="E44" i="8" s="1"/>
  <c r="E49" i="8"/>
  <c r="E71" i="8" s="1"/>
  <c r="H32" i="8"/>
  <c r="G38" i="8"/>
  <c r="G34" i="8"/>
  <c r="G33" i="8"/>
  <c r="G39" i="8" s="1"/>
  <c r="C77" i="8"/>
  <c r="C89" i="8" s="1"/>
  <c r="E25" i="1"/>
  <c r="E31" i="1" s="1"/>
  <c r="F24" i="1"/>
  <c r="E30" i="1"/>
  <c r="E26" i="1"/>
  <c r="E32" i="1" s="1"/>
  <c r="F37" i="7"/>
  <c r="F32" i="7"/>
  <c r="F38" i="7" s="1"/>
  <c r="F33" i="7"/>
  <c r="F39" i="7" s="1"/>
  <c r="G31" i="7"/>
  <c r="D43" i="1"/>
  <c r="D37" i="1"/>
  <c r="G25" i="5"/>
  <c r="F31" i="5"/>
  <c r="F30" i="5" s="1"/>
  <c r="F37" i="5" s="1"/>
  <c r="F27" i="5"/>
  <c r="F33" i="5" s="1"/>
  <c r="F34" i="5" s="1"/>
  <c r="F26" i="5"/>
  <c r="F32" i="5" s="1"/>
  <c r="D41" i="8"/>
  <c r="D40" i="8"/>
  <c r="D37" i="8" s="1"/>
  <c r="D44" i="8" s="1"/>
  <c r="C49" i="5"/>
  <c r="C47" i="1"/>
  <c r="D35" i="2"/>
  <c r="D32" i="2" s="1"/>
  <c r="D38" i="2" s="1"/>
  <c r="F49" i="8"/>
  <c r="F71" i="8" s="1"/>
  <c r="F37" i="8"/>
  <c r="F44" i="8" s="1"/>
  <c r="E30" i="5"/>
  <c r="E37" i="5" s="1"/>
  <c r="D47" i="7"/>
  <c r="D69" i="7" s="1"/>
  <c r="C61" i="7"/>
  <c r="C72" i="7"/>
  <c r="C53" i="7"/>
  <c r="C55" i="7" s="1"/>
  <c r="C71" i="7"/>
  <c r="D46" i="2" l="1"/>
  <c r="D40" i="2"/>
  <c r="C55" i="3"/>
  <c r="D70" i="8"/>
  <c r="D73" i="8" s="1"/>
  <c r="D46" i="8"/>
  <c r="E91" i="3"/>
  <c r="E85" i="3"/>
  <c r="E32" i="2"/>
  <c r="E38" i="2" s="1"/>
  <c r="C78" i="8"/>
  <c r="C80" i="8" s="1"/>
  <c r="G37" i="7"/>
  <c r="G32" i="7"/>
  <c r="G38" i="7" s="1"/>
  <c r="G33" i="7"/>
  <c r="G39" i="7" s="1"/>
  <c r="H31" i="7"/>
  <c r="D54" i="8"/>
  <c r="D57" i="8" s="1"/>
  <c r="C58" i="8"/>
  <c r="C64" i="8" s="1"/>
  <c r="F46" i="8"/>
  <c r="F70" i="8"/>
  <c r="F73" i="8" s="1"/>
  <c r="C76" i="7"/>
  <c r="C79" i="7" s="1"/>
  <c r="D52" i="7"/>
  <c r="D55" i="7" s="1"/>
  <c r="C56" i="7"/>
  <c r="C62" i="7" s="1"/>
  <c r="C63" i="7" s="1"/>
  <c r="C64" i="7" s="1"/>
  <c r="C65" i="7" s="1"/>
  <c r="E29" i="1"/>
  <c r="E35" i="1" s="1"/>
  <c r="G40" i="8"/>
  <c r="G37" i="8" s="1"/>
  <c r="G44" i="8" s="1"/>
  <c r="G41" i="8"/>
  <c r="D68" i="7"/>
  <c r="D71" i="7" s="1"/>
  <c r="D44" i="7"/>
  <c r="F25" i="1"/>
  <c r="F31" i="1" s="1"/>
  <c r="G24" i="1"/>
  <c r="F30" i="1"/>
  <c r="F29" i="1" s="1"/>
  <c r="F35" i="1" s="1"/>
  <c r="F26" i="1"/>
  <c r="F32" i="1" s="1"/>
  <c r="G49" i="8"/>
  <c r="G71" i="8" s="1"/>
  <c r="C65" i="8"/>
  <c r="C66" i="8" s="1"/>
  <c r="C67" i="8" s="1"/>
  <c r="D60" i="8"/>
  <c r="F45" i="5"/>
  <c r="F39" i="5"/>
  <c r="F36" i="7"/>
  <c r="F42" i="7" s="1"/>
  <c r="F47" i="7"/>
  <c r="F69" i="7" s="1"/>
  <c r="H38" i="8"/>
  <c r="H34" i="8"/>
  <c r="H33" i="8"/>
  <c r="H39" i="8" s="1"/>
  <c r="I32" i="8"/>
  <c r="H25" i="5"/>
  <c r="G31" i="5"/>
  <c r="G27" i="5"/>
  <c r="G33" i="5" s="1"/>
  <c r="G34" i="5" s="1"/>
  <c r="G26" i="5"/>
  <c r="G32" i="5" s="1"/>
  <c r="G31" i="3"/>
  <c r="F33" i="3"/>
  <c r="F39" i="3" s="1"/>
  <c r="F32" i="3"/>
  <c r="F38" i="3" s="1"/>
  <c r="F36" i="3" s="1"/>
  <c r="F43" i="3" s="1"/>
  <c r="F78" i="3"/>
  <c r="F77" i="3" s="1"/>
  <c r="F83" i="3" s="1"/>
  <c r="D58" i="7"/>
  <c r="E45" i="5"/>
  <c r="E39" i="5"/>
  <c r="D39" i="1"/>
  <c r="D40" i="1" s="1"/>
  <c r="D38" i="1"/>
  <c r="D44" i="1" s="1"/>
  <c r="D46" i="1" s="1"/>
  <c r="E70" i="8"/>
  <c r="E73" i="8" s="1"/>
  <c r="E46" i="8"/>
  <c r="E36" i="3"/>
  <c r="E43" i="3" s="1"/>
  <c r="F28" i="2"/>
  <c r="F34" i="2" s="1"/>
  <c r="F33" i="2"/>
  <c r="F29" i="2"/>
  <c r="G27" i="2"/>
  <c r="D40" i="5"/>
  <c r="D46" i="5" s="1"/>
  <c r="D48" i="5" s="1"/>
  <c r="D41" i="5"/>
  <c r="D42" i="5" s="1"/>
  <c r="C49" i="1" l="1"/>
  <c r="D47" i="1"/>
  <c r="H20" i="5"/>
  <c r="K20" i="5" s="1"/>
  <c r="C51" i="5"/>
  <c r="D49" i="5"/>
  <c r="G70" i="8"/>
  <c r="G73" i="8" s="1"/>
  <c r="G46" i="8"/>
  <c r="G28" i="2"/>
  <c r="G34" i="2" s="1"/>
  <c r="G33" i="2"/>
  <c r="G29" i="2"/>
  <c r="G35" i="2" s="1"/>
  <c r="H27" i="2"/>
  <c r="H31" i="5"/>
  <c r="H30" i="5" s="1"/>
  <c r="H37" i="5" s="1"/>
  <c r="H27" i="5"/>
  <c r="H33" i="5" s="1"/>
  <c r="H34" i="5" s="1"/>
  <c r="H26" i="5"/>
  <c r="H32" i="5" s="1"/>
  <c r="I25" i="5"/>
  <c r="F40" i="5"/>
  <c r="F46" i="5" s="1"/>
  <c r="F48" i="5" s="1"/>
  <c r="C81" i="8"/>
  <c r="F35" i="2"/>
  <c r="F91" i="3"/>
  <c r="F85" i="3"/>
  <c r="E43" i="1"/>
  <c r="E37" i="1"/>
  <c r="E54" i="8"/>
  <c r="E57" i="8" s="1"/>
  <c r="D58" i="8"/>
  <c r="E46" i="2"/>
  <c r="E40" i="2"/>
  <c r="F45" i="3"/>
  <c r="F47" i="3" s="1"/>
  <c r="F48" i="3" s="1"/>
  <c r="F51" i="3"/>
  <c r="F53" i="3" s="1"/>
  <c r="I33" i="8"/>
  <c r="I39" i="8" s="1"/>
  <c r="J32" i="8"/>
  <c r="I34" i="8"/>
  <c r="I38" i="8"/>
  <c r="D47" i="8"/>
  <c r="D48" i="8" s="1"/>
  <c r="D50" i="8" s="1"/>
  <c r="F43" i="1"/>
  <c r="F37" i="1"/>
  <c r="E41" i="5"/>
  <c r="E42" i="5" s="1"/>
  <c r="E40" i="5"/>
  <c r="E46" i="5" s="1"/>
  <c r="H24" i="1"/>
  <c r="G30" i="1"/>
  <c r="G26" i="1"/>
  <c r="G32" i="1" s="1"/>
  <c r="G25" i="1"/>
  <c r="G31" i="1" s="1"/>
  <c r="E51" i="3"/>
  <c r="E53" i="3" s="1"/>
  <c r="E45" i="3"/>
  <c r="E47" i="3" s="1"/>
  <c r="E48" i="3" s="1"/>
  <c r="H31" i="3"/>
  <c r="G33" i="3"/>
  <c r="G39" i="3" s="1"/>
  <c r="G78" i="3"/>
  <c r="G77" i="3" s="1"/>
  <c r="G83" i="3" s="1"/>
  <c r="G32" i="3"/>
  <c r="G38" i="3" s="1"/>
  <c r="H40" i="8"/>
  <c r="H41" i="8"/>
  <c r="C80" i="7"/>
  <c r="F32" i="2"/>
  <c r="F38" i="2" s="1"/>
  <c r="E52" i="7"/>
  <c r="E55" i="7" s="1"/>
  <c r="D56" i="7"/>
  <c r="H49" i="8"/>
  <c r="H71" i="8" s="1"/>
  <c r="H37" i="8"/>
  <c r="H44" i="8" s="1"/>
  <c r="D45" i="7"/>
  <c r="D46" i="7" s="1"/>
  <c r="D48" i="7" s="1"/>
  <c r="G47" i="7"/>
  <c r="G69" i="7" s="1"/>
  <c r="G36" i="7"/>
  <c r="G42" i="7" s="1"/>
  <c r="E86" i="3"/>
  <c r="E92" i="3" s="1"/>
  <c r="E87" i="3"/>
  <c r="E88" i="3" s="1"/>
  <c r="D41" i="2"/>
  <c r="D47" i="2" s="1"/>
  <c r="D49" i="2" s="1"/>
  <c r="E48" i="5"/>
  <c r="H37" i="7"/>
  <c r="H32" i="7"/>
  <c r="H38" i="7" s="1"/>
  <c r="H33" i="7"/>
  <c r="I31" i="7"/>
  <c r="G30" i="5"/>
  <c r="G37" i="5" s="1"/>
  <c r="F44" i="7"/>
  <c r="F68" i="7"/>
  <c r="F71" i="7" s="1"/>
  <c r="E94" i="3"/>
  <c r="D49" i="7" l="1"/>
  <c r="D57" i="7"/>
  <c r="D50" i="2"/>
  <c r="D51" i="8"/>
  <c r="D59" i="8"/>
  <c r="F46" i="2"/>
  <c r="F40" i="2"/>
  <c r="I31" i="3"/>
  <c r="H33" i="3"/>
  <c r="H39" i="3" s="1"/>
  <c r="H78" i="3"/>
  <c r="H77" i="3" s="1"/>
  <c r="H83" i="3" s="1"/>
  <c r="H32" i="3"/>
  <c r="H38" i="3" s="1"/>
  <c r="H36" i="3" s="1"/>
  <c r="H43" i="3" s="1"/>
  <c r="I41" i="8"/>
  <c r="I40" i="8"/>
  <c r="H45" i="5"/>
  <c r="H39" i="5"/>
  <c r="E49" i="5"/>
  <c r="F49" i="5" s="1"/>
  <c r="J33" i="8"/>
  <c r="J39" i="8" s="1"/>
  <c r="K32" i="8"/>
  <c r="J38" i="8"/>
  <c r="J34" i="8"/>
  <c r="F54" i="8"/>
  <c r="F57" i="8" s="1"/>
  <c r="E58" i="8"/>
  <c r="I37" i="7"/>
  <c r="I32" i="7"/>
  <c r="I38" i="7" s="1"/>
  <c r="I33" i="7"/>
  <c r="I39" i="7" s="1"/>
  <c r="J31" i="7"/>
  <c r="E54" i="3"/>
  <c r="E39" i="1"/>
  <c r="E40" i="1" s="1"/>
  <c r="E38" i="1"/>
  <c r="E44" i="1" s="1"/>
  <c r="H28" i="2"/>
  <c r="H34" i="2" s="1"/>
  <c r="H33" i="2"/>
  <c r="H29" i="2"/>
  <c r="H35" i="2" s="1"/>
  <c r="I27" i="2"/>
  <c r="E95" i="3"/>
  <c r="H70" i="8"/>
  <c r="H73" i="8" s="1"/>
  <c r="H46" i="8"/>
  <c r="F38" i="1"/>
  <c r="F44" i="1" s="1"/>
  <c r="E46" i="1"/>
  <c r="F46" i="1"/>
  <c r="F41" i="5"/>
  <c r="F42" i="5" s="1"/>
  <c r="G32" i="2"/>
  <c r="G38" i="2" s="1"/>
  <c r="G68" i="7"/>
  <c r="G71" i="7" s="1"/>
  <c r="G44" i="7"/>
  <c r="H47" i="7"/>
  <c r="H69" i="7" s="1"/>
  <c r="G36" i="3"/>
  <c r="G43" i="3" s="1"/>
  <c r="G29" i="1"/>
  <c r="G35" i="1" s="1"/>
  <c r="F87" i="3"/>
  <c r="F88" i="3" s="1"/>
  <c r="F86" i="3"/>
  <c r="F92" i="3" s="1"/>
  <c r="I26" i="5"/>
  <c r="I32" i="5" s="1"/>
  <c r="J25" i="5"/>
  <c r="I31" i="5"/>
  <c r="I27" i="5"/>
  <c r="I33" i="5" s="1"/>
  <c r="I34" i="5" s="1"/>
  <c r="G45" i="5"/>
  <c r="G39" i="5"/>
  <c r="H39" i="7"/>
  <c r="H36" i="7" s="1"/>
  <c r="H42" i="7" s="1"/>
  <c r="G85" i="3"/>
  <c r="G91" i="3"/>
  <c r="I24" i="1"/>
  <c r="H30" i="1"/>
  <c r="H29" i="1" s="1"/>
  <c r="H35" i="1" s="1"/>
  <c r="H26" i="1"/>
  <c r="H32" i="1" s="1"/>
  <c r="H25" i="1"/>
  <c r="H31" i="1" s="1"/>
  <c r="D76" i="8"/>
  <c r="D62" i="8"/>
  <c r="E41" i="2"/>
  <c r="E47" i="2" s="1"/>
  <c r="E49" i="2" s="1"/>
  <c r="F94" i="3"/>
  <c r="D42" i="2"/>
  <c r="D43" i="2" s="1"/>
  <c r="D74" i="7"/>
  <c r="D60" i="7"/>
  <c r="F52" i="7"/>
  <c r="F55" i="7" s="1"/>
  <c r="E56" i="7"/>
  <c r="I49" i="8"/>
  <c r="I71" i="8" s="1"/>
  <c r="I37" i="8"/>
  <c r="I44" i="8" s="1"/>
  <c r="H68" i="7" l="1"/>
  <c r="H71" i="7" s="1"/>
  <c r="H44" i="7"/>
  <c r="H43" i="1"/>
  <c r="H37" i="1"/>
  <c r="G46" i="2"/>
  <c r="G40" i="2"/>
  <c r="J37" i="7"/>
  <c r="J32" i="7"/>
  <c r="J38" i="7" s="1"/>
  <c r="J33" i="7"/>
  <c r="J39" i="7" s="1"/>
  <c r="K31" i="7"/>
  <c r="J49" i="8"/>
  <c r="J71" i="8" s="1"/>
  <c r="G40" i="5"/>
  <c r="G46" i="5" s="1"/>
  <c r="F95" i="3"/>
  <c r="K33" i="8"/>
  <c r="K39" i="8" s="1"/>
  <c r="L32" i="8"/>
  <c r="K38" i="8"/>
  <c r="K34" i="8"/>
  <c r="H45" i="3"/>
  <c r="H47" i="3" s="1"/>
  <c r="H48" i="3" s="1"/>
  <c r="H51" i="3"/>
  <c r="H53" i="3" s="1"/>
  <c r="G45" i="3"/>
  <c r="G47" i="3" s="1"/>
  <c r="G48" i="3" s="1"/>
  <c r="G51" i="3"/>
  <c r="G53" i="3" s="1"/>
  <c r="I28" i="2"/>
  <c r="I34" i="2" s="1"/>
  <c r="I33" i="2"/>
  <c r="I29" i="2"/>
  <c r="J27" i="2"/>
  <c r="H85" i="3"/>
  <c r="H91" i="3"/>
  <c r="E50" i="2"/>
  <c r="C51" i="2"/>
  <c r="J24" i="1"/>
  <c r="I30" i="1"/>
  <c r="I29" i="1" s="1"/>
  <c r="I35" i="1" s="1"/>
  <c r="I26" i="1"/>
  <c r="I32" i="1" s="1"/>
  <c r="I25" i="1"/>
  <c r="I31" i="1" s="1"/>
  <c r="G86" i="3"/>
  <c r="G92" i="3" s="1"/>
  <c r="G94" i="3" s="1"/>
  <c r="I47" i="7"/>
  <c r="I69" i="7" s="1"/>
  <c r="I36" i="7"/>
  <c r="I42" i="7" s="1"/>
  <c r="F56" i="7"/>
  <c r="G52" i="7"/>
  <c r="G55" i="7" s="1"/>
  <c r="D73" i="7"/>
  <c r="D76" i="7" s="1"/>
  <c r="D61" i="7"/>
  <c r="D75" i="8"/>
  <c r="D78" i="8" s="1"/>
  <c r="D63" i="8"/>
  <c r="I30" i="5"/>
  <c r="I37" i="5" s="1"/>
  <c r="F39" i="1"/>
  <c r="F40" i="1" s="1"/>
  <c r="H32" i="2"/>
  <c r="H38" i="2" s="1"/>
  <c r="H41" i="5"/>
  <c r="H42" i="5" s="1"/>
  <c r="H40" i="5"/>
  <c r="H46" i="5" s="1"/>
  <c r="I33" i="3"/>
  <c r="I39" i="3" s="1"/>
  <c r="I78" i="3"/>
  <c r="I77" i="3" s="1"/>
  <c r="I83" i="3" s="1"/>
  <c r="I32" i="3"/>
  <c r="I38" i="3" s="1"/>
  <c r="J31" i="3"/>
  <c r="I70" i="8"/>
  <c r="I73" i="8" s="1"/>
  <c r="I46" i="8"/>
  <c r="J26" i="5"/>
  <c r="J32" i="5" s="1"/>
  <c r="K25" i="5"/>
  <c r="J31" i="5"/>
  <c r="J27" i="5"/>
  <c r="J33" i="5" s="1"/>
  <c r="J34" i="5" s="1"/>
  <c r="F54" i="3"/>
  <c r="E55" i="3"/>
  <c r="D55" i="3"/>
  <c r="G54" i="8"/>
  <c r="G57" i="8" s="1"/>
  <c r="F58" i="8"/>
  <c r="H48" i="5"/>
  <c r="F42" i="2"/>
  <c r="F43" i="2" s="1"/>
  <c r="F41" i="2"/>
  <c r="F47" i="2" s="1"/>
  <c r="G48" i="5"/>
  <c r="E42" i="2"/>
  <c r="E43" i="2" s="1"/>
  <c r="F49" i="2"/>
  <c r="G43" i="1"/>
  <c r="G37" i="1"/>
  <c r="E47" i="1"/>
  <c r="F47" i="1" s="1"/>
  <c r="J41" i="8"/>
  <c r="J40" i="8"/>
  <c r="J37" i="8" s="1"/>
  <c r="J44" i="8" s="1"/>
  <c r="J70" i="8" l="1"/>
  <c r="J73" i="8" s="1"/>
  <c r="J46" i="8"/>
  <c r="J30" i="5"/>
  <c r="J37" i="5" s="1"/>
  <c r="D80" i="8"/>
  <c r="I43" i="1"/>
  <c r="I37" i="1"/>
  <c r="J33" i="2"/>
  <c r="J29" i="2"/>
  <c r="J35" i="2" s="1"/>
  <c r="K27" i="2"/>
  <c r="J28" i="2"/>
  <c r="J34" i="2" s="1"/>
  <c r="K41" i="8"/>
  <c r="K40" i="8"/>
  <c r="K37" i="8" s="1"/>
  <c r="K44" i="8" s="1"/>
  <c r="H38" i="1"/>
  <c r="H44" i="1" s="1"/>
  <c r="H39" i="1"/>
  <c r="H40" i="1" s="1"/>
  <c r="K26" i="5"/>
  <c r="K32" i="5" s="1"/>
  <c r="L25" i="5"/>
  <c r="K31" i="5"/>
  <c r="K27" i="5"/>
  <c r="K33" i="5" s="1"/>
  <c r="K34" i="5" s="1"/>
  <c r="E58" i="7"/>
  <c r="D62" i="7"/>
  <c r="D77" i="7" s="1"/>
  <c r="J30" i="1"/>
  <c r="J26" i="1"/>
  <c r="J32" i="1" s="1"/>
  <c r="J25" i="1"/>
  <c r="J31" i="1" s="1"/>
  <c r="K24" i="1"/>
  <c r="I35" i="2"/>
  <c r="I32" i="2" s="1"/>
  <c r="I38" i="2" s="1"/>
  <c r="K49" i="8"/>
  <c r="K71" i="8" s="1"/>
  <c r="H46" i="1"/>
  <c r="G56" i="7"/>
  <c r="H52" i="7"/>
  <c r="H55" i="7" s="1"/>
  <c r="F50" i="2"/>
  <c r="E51" i="2"/>
  <c r="K33" i="7"/>
  <c r="L31" i="7"/>
  <c r="K37" i="7"/>
  <c r="K32" i="7"/>
  <c r="K38" i="7" s="1"/>
  <c r="H46" i="2"/>
  <c r="H40" i="2"/>
  <c r="G87" i="3"/>
  <c r="G88" i="3" s="1"/>
  <c r="D51" i="2"/>
  <c r="G95" i="3"/>
  <c r="D79" i="7"/>
  <c r="L33" i="8"/>
  <c r="L39" i="8" s="1"/>
  <c r="M32" i="8"/>
  <c r="L38" i="8"/>
  <c r="L34" i="8"/>
  <c r="G54" i="3"/>
  <c r="F55" i="3"/>
  <c r="J78" i="3"/>
  <c r="J77" i="3" s="1"/>
  <c r="J83" i="3" s="1"/>
  <c r="J32" i="3"/>
  <c r="J38" i="3" s="1"/>
  <c r="J36" i="3" s="1"/>
  <c r="J43" i="3" s="1"/>
  <c r="K31" i="3"/>
  <c r="J33" i="3"/>
  <c r="J39" i="3" s="1"/>
  <c r="J47" i="7"/>
  <c r="J69" i="7" s="1"/>
  <c r="J36" i="7"/>
  <c r="J42" i="7" s="1"/>
  <c r="H54" i="8"/>
  <c r="H57" i="8" s="1"/>
  <c r="G58" i="8"/>
  <c r="G38" i="1"/>
  <c r="G44" i="1" s="1"/>
  <c r="G46" i="1" s="1"/>
  <c r="I36" i="3"/>
  <c r="I43" i="3" s="1"/>
  <c r="I45" i="5"/>
  <c r="I39" i="5"/>
  <c r="G49" i="5"/>
  <c r="H49" i="5" s="1"/>
  <c r="H86" i="3"/>
  <c r="H92" i="3" s="1"/>
  <c r="H94" i="3" s="1"/>
  <c r="G41" i="5"/>
  <c r="G42" i="5" s="1"/>
  <c r="G41" i="2"/>
  <c r="G47" i="2" s="1"/>
  <c r="I85" i="3"/>
  <c r="I91" i="3"/>
  <c r="D65" i="8"/>
  <c r="D66" i="8" s="1"/>
  <c r="D67" i="8" s="1"/>
  <c r="E60" i="8"/>
  <c r="D64" i="8"/>
  <c r="D79" i="8" s="1"/>
  <c r="I68" i="7"/>
  <c r="I71" i="7" s="1"/>
  <c r="I44" i="7"/>
  <c r="G49" i="2"/>
  <c r="G47" i="1" l="1"/>
  <c r="H47" i="1" s="1"/>
  <c r="K46" i="8"/>
  <c r="K70" i="8"/>
  <c r="K73" i="8" s="1"/>
  <c r="I46" i="2"/>
  <c r="I40" i="2"/>
  <c r="K78" i="3"/>
  <c r="K77" i="3" s="1"/>
  <c r="K83" i="3" s="1"/>
  <c r="K32" i="3"/>
  <c r="K38" i="3" s="1"/>
  <c r="L31" i="3"/>
  <c r="K33" i="3"/>
  <c r="K39" i="3" s="1"/>
  <c r="N32" i="8"/>
  <c r="M38" i="8"/>
  <c r="M34" i="8"/>
  <c r="M33" i="8"/>
  <c r="M39" i="8" s="1"/>
  <c r="I52" i="7"/>
  <c r="I55" i="7" s="1"/>
  <c r="H56" i="7"/>
  <c r="E45" i="7"/>
  <c r="D81" i="8"/>
  <c r="J51" i="3"/>
  <c r="J53" i="3" s="1"/>
  <c r="J45" i="3"/>
  <c r="J47" i="3" s="1"/>
  <c r="J48" i="3" s="1"/>
  <c r="I86" i="3"/>
  <c r="I92" i="3" s="1"/>
  <c r="I94" i="3" s="1"/>
  <c r="J91" i="3"/>
  <c r="J85" i="3"/>
  <c r="D80" i="7"/>
  <c r="K47" i="7"/>
  <c r="K69" i="7" s="1"/>
  <c r="L24" i="1"/>
  <c r="K25" i="1"/>
  <c r="K31" i="1" s="1"/>
  <c r="K30" i="1"/>
  <c r="K26" i="1"/>
  <c r="K32" i="1" s="1"/>
  <c r="K30" i="5"/>
  <c r="K37" i="5" s="1"/>
  <c r="J45" i="5"/>
  <c r="J39" i="5"/>
  <c r="L37" i="7"/>
  <c r="L33" i="7"/>
  <c r="L39" i="7" s="1"/>
  <c r="M31" i="7"/>
  <c r="L32" i="7"/>
  <c r="L38" i="7" s="1"/>
  <c r="L26" i="5"/>
  <c r="L32" i="5" s="1"/>
  <c r="M25" i="5"/>
  <c r="L31" i="5"/>
  <c r="L27" i="5"/>
  <c r="L33" i="5" s="1"/>
  <c r="L34" i="5" s="1"/>
  <c r="K33" i="2"/>
  <c r="K29" i="2"/>
  <c r="L27" i="2"/>
  <c r="K28" i="2"/>
  <c r="K34" i="2" s="1"/>
  <c r="I40" i="5"/>
  <c r="I46" i="5" s="1"/>
  <c r="I48" i="5" s="1"/>
  <c r="I49" i="5" s="1"/>
  <c r="I41" i="5"/>
  <c r="I42" i="5" s="1"/>
  <c r="J68" i="7"/>
  <c r="J71" i="7" s="1"/>
  <c r="J44" i="7"/>
  <c r="H54" i="3"/>
  <c r="K39" i="7"/>
  <c r="K36" i="7" s="1"/>
  <c r="K42" i="7" s="1"/>
  <c r="H58" i="8"/>
  <c r="I54" i="8"/>
  <c r="I57" i="8" s="1"/>
  <c r="I45" i="3"/>
  <c r="I47" i="3" s="1"/>
  <c r="I48" i="3" s="1"/>
  <c r="I51" i="3"/>
  <c r="I53" i="3" s="1"/>
  <c r="J29" i="1"/>
  <c r="J35" i="1" s="1"/>
  <c r="J32" i="2"/>
  <c r="J38" i="2" s="1"/>
  <c r="H87" i="3"/>
  <c r="H88" i="3" s="1"/>
  <c r="G42" i="2"/>
  <c r="G43" i="2" s="1"/>
  <c r="L41" i="8"/>
  <c r="L40" i="8"/>
  <c r="H41" i="2"/>
  <c r="H47" i="2" s="1"/>
  <c r="H49" i="2" s="1"/>
  <c r="I38" i="1"/>
  <c r="I44" i="1" s="1"/>
  <c r="I46" i="1" s="1"/>
  <c r="E47" i="8"/>
  <c r="G39" i="1"/>
  <c r="G40" i="1" s="1"/>
  <c r="L49" i="8"/>
  <c r="L71" i="8" s="1"/>
  <c r="L37" i="8"/>
  <c r="L44" i="8" s="1"/>
  <c r="H95" i="3"/>
  <c r="G50" i="2"/>
  <c r="F51" i="2"/>
  <c r="D63" i="7"/>
  <c r="D64" i="7" s="1"/>
  <c r="D65" i="7" s="1"/>
  <c r="K68" i="7" l="1"/>
  <c r="K71" i="7" s="1"/>
  <c r="K44" i="7"/>
  <c r="J43" i="1"/>
  <c r="J37" i="1"/>
  <c r="K35" i="2"/>
  <c r="K29" i="1"/>
  <c r="K35" i="1" s="1"/>
  <c r="J86" i="3"/>
  <c r="J92" i="3" s="1"/>
  <c r="J87" i="3"/>
  <c r="J88" i="3" s="1"/>
  <c r="C82" i="8"/>
  <c r="M40" i="8"/>
  <c r="M41" i="8"/>
  <c r="M37" i="8" s="1"/>
  <c r="M44" i="8" s="1"/>
  <c r="K32" i="2"/>
  <c r="K38" i="2" s="1"/>
  <c r="L36" i="7"/>
  <c r="L42" i="7" s="1"/>
  <c r="L47" i="7"/>
  <c r="L69" i="7" s="1"/>
  <c r="J94" i="3"/>
  <c r="M49" i="8"/>
  <c r="M71" i="8" s="1"/>
  <c r="L25" i="1"/>
  <c r="L31" i="1" s="1"/>
  <c r="M24" i="1"/>
  <c r="L30" i="1"/>
  <c r="L26" i="1"/>
  <c r="L32" i="1" s="1"/>
  <c r="O32" i="8"/>
  <c r="N38" i="8"/>
  <c r="N34" i="8"/>
  <c r="N33" i="8"/>
  <c r="N39" i="8" s="1"/>
  <c r="L70" i="8"/>
  <c r="L73" i="8" s="1"/>
  <c r="L46" i="8"/>
  <c r="H55" i="3"/>
  <c r="I54" i="3"/>
  <c r="L30" i="5"/>
  <c r="L37" i="5" s="1"/>
  <c r="I87" i="3"/>
  <c r="I88" i="3" s="1"/>
  <c r="I95" i="3"/>
  <c r="H42" i="2"/>
  <c r="H43" i="2" s="1"/>
  <c r="G55" i="3"/>
  <c r="N25" i="5"/>
  <c r="M31" i="5"/>
  <c r="M30" i="5" s="1"/>
  <c r="M37" i="5" s="1"/>
  <c r="M27" i="5"/>
  <c r="M33" i="5" s="1"/>
  <c r="M34" i="5" s="1"/>
  <c r="M26" i="5"/>
  <c r="M32" i="5" s="1"/>
  <c r="J40" i="5"/>
  <c r="J46" i="5" s="1"/>
  <c r="E74" i="7"/>
  <c r="E60" i="7"/>
  <c r="E46" i="7"/>
  <c r="E48" i="7" s="1"/>
  <c r="L78" i="3"/>
  <c r="L77" i="3" s="1"/>
  <c r="L83" i="3" s="1"/>
  <c r="L32" i="3"/>
  <c r="L38" i="3" s="1"/>
  <c r="M31" i="3"/>
  <c r="L33" i="3"/>
  <c r="L39" i="3" s="1"/>
  <c r="E76" i="8"/>
  <c r="E62" i="8"/>
  <c r="E48" i="8"/>
  <c r="E50" i="8" s="1"/>
  <c r="I58" i="8"/>
  <c r="J54" i="8"/>
  <c r="J57" i="8" s="1"/>
  <c r="J48" i="5"/>
  <c r="J49" i="5" s="1"/>
  <c r="C81" i="7"/>
  <c r="K36" i="3"/>
  <c r="K43" i="3" s="1"/>
  <c r="I47" i="1"/>
  <c r="K45" i="5"/>
  <c r="K39" i="5"/>
  <c r="J52" i="7"/>
  <c r="J55" i="7" s="1"/>
  <c r="I56" i="7"/>
  <c r="K85" i="3"/>
  <c r="K91" i="3"/>
  <c r="H50" i="2"/>
  <c r="G51" i="2"/>
  <c r="I39" i="1"/>
  <c r="I40" i="1" s="1"/>
  <c r="J46" i="2"/>
  <c r="J40" i="2"/>
  <c r="L33" i="2"/>
  <c r="L29" i="2"/>
  <c r="L35" i="2" s="1"/>
  <c r="M27" i="2"/>
  <c r="L28" i="2"/>
  <c r="L34" i="2" s="1"/>
  <c r="M37" i="7"/>
  <c r="M33" i="7"/>
  <c r="M39" i="7" s="1"/>
  <c r="N31" i="7"/>
  <c r="M32" i="7"/>
  <c r="M38" i="7" s="1"/>
  <c r="I41" i="2"/>
  <c r="I47" i="2" s="1"/>
  <c r="I49" i="2" s="1"/>
  <c r="M46" i="8" l="1"/>
  <c r="M70" i="8"/>
  <c r="M73" i="8" s="1"/>
  <c r="K54" i="8"/>
  <c r="K57" i="8" s="1"/>
  <c r="J58" i="8"/>
  <c r="L85" i="3"/>
  <c r="L91" i="3"/>
  <c r="M45" i="5"/>
  <c r="M39" i="5"/>
  <c r="J54" i="3"/>
  <c r="P32" i="8"/>
  <c r="O38" i="8"/>
  <c r="O34" i="8"/>
  <c r="O33" i="8"/>
  <c r="O39" i="8" s="1"/>
  <c r="J38" i="1"/>
  <c r="J44" i="1" s="1"/>
  <c r="K51" i="3"/>
  <c r="K53" i="3" s="1"/>
  <c r="K45" i="3"/>
  <c r="K47" i="3" s="1"/>
  <c r="K48" i="3" s="1"/>
  <c r="E49" i="7"/>
  <c r="E57" i="7"/>
  <c r="O25" i="5"/>
  <c r="N31" i="5"/>
  <c r="N27" i="5"/>
  <c r="N33" i="5" s="1"/>
  <c r="N34" i="5" s="1"/>
  <c r="N26" i="5"/>
  <c r="N32" i="5" s="1"/>
  <c r="J46" i="1"/>
  <c r="J47" i="1" s="1"/>
  <c r="E51" i="8"/>
  <c r="E59" i="8"/>
  <c r="E73" i="7"/>
  <c r="E76" i="7" s="1"/>
  <c r="E61" i="7"/>
  <c r="L29" i="1"/>
  <c r="L35" i="1" s="1"/>
  <c r="K86" i="3"/>
  <c r="K92" i="3" s="1"/>
  <c r="K94" i="3" s="1"/>
  <c r="K87" i="3"/>
  <c r="K88" i="3" s="1"/>
  <c r="J41" i="2"/>
  <c r="J47" i="2" s="1"/>
  <c r="J49" i="2" s="1"/>
  <c r="E75" i="8"/>
  <c r="E78" i="8" s="1"/>
  <c r="E63" i="8"/>
  <c r="M25" i="1"/>
  <c r="M31" i="1" s="1"/>
  <c r="N24" i="1"/>
  <c r="M30" i="1"/>
  <c r="M26" i="1"/>
  <c r="M32" i="1" s="1"/>
  <c r="L68" i="7"/>
  <c r="L71" i="7" s="1"/>
  <c r="L44" i="7"/>
  <c r="L32" i="2"/>
  <c r="L38" i="2" s="1"/>
  <c r="K52" i="7"/>
  <c r="K55" i="7" s="1"/>
  <c r="J56" i="7"/>
  <c r="K40" i="5"/>
  <c r="K46" i="5" s="1"/>
  <c r="K48" i="5" s="1"/>
  <c r="K49" i="5" s="1"/>
  <c r="K41" i="5"/>
  <c r="K42" i="5" s="1"/>
  <c r="J41" i="5"/>
  <c r="J42" i="5" s="1"/>
  <c r="J95" i="3"/>
  <c r="K46" i="2"/>
  <c r="K40" i="2"/>
  <c r="K43" i="1"/>
  <c r="K37" i="1"/>
  <c r="I50" i="2"/>
  <c r="H51" i="2"/>
  <c r="M78" i="3"/>
  <c r="M77" i="3" s="1"/>
  <c r="M83" i="3" s="1"/>
  <c r="M32" i="3"/>
  <c r="M38" i="3" s="1"/>
  <c r="N31" i="3"/>
  <c r="M33" i="3"/>
  <c r="M39" i="3" s="1"/>
  <c r="N40" i="8"/>
  <c r="N41" i="8"/>
  <c r="I42" i="2"/>
  <c r="I43" i="2" s="1"/>
  <c r="N37" i="7"/>
  <c r="N32" i="7"/>
  <c r="N38" i="7" s="1"/>
  <c r="N33" i="7"/>
  <c r="N39" i="7" s="1"/>
  <c r="O31" i="7"/>
  <c r="M36" i="7"/>
  <c r="M42" i="7" s="1"/>
  <c r="M47" i="7"/>
  <c r="M69" i="7" s="1"/>
  <c r="M28" i="2"/>
  <c r="M34" i="2" s="1"/>
  <c r="M33" i="2"/>
  <c r="M29" i="2"/>
  <c r="M35" i="2" s="1"/>
  <c r="N27" i="2"/>
  <c r="L36" i="3"/>
  <c r="L43" i="3" s="1"/>
  <c r="L45" i="5"/>
  <c r="L39" i="5"/>
  <c r="N49" i="8"/>
  <c r="N71" i="8" s="1"/>
  <c r="N37" i="8"/>
  <c r="N44" i="8" s="1"/>
  <c r="M85" i="3" l="1"/>
  <c r="M91" i="3"/>
  <c r="K41" i="2"/>
  <c r="K47" i="2" s="1"/>
  <c r="N25" i="1"/>
  <c r="N31" i="1" s="1"/>
  <c r="O24" i="1"/>
  <c r="N30" i="1"/>
  <c r="N26" i="1"/>
  <c r="N32" i="1" s="1"/>
  <c r="E64" i="8"/>
  <c r="E79" i="8" s="1"/>
  <c r="E62" i="7"/>
  <c r="E77" i="7" s="1"/>
  <c r="O40" i="8"/>
  <c r="O41" i="8"/>
  <c r="O37" i="8" s="1"/>
  <c r="O44" i="8" s="1"/>
  <c r="L86" i="3"/>
  <c r="L92" i="3" s="1"/>
  <c r="L87" i="3"/>
  <c r="L88" i="3" s="1"/>
  <c r="K49" i="2"/>
  <c r="L46" i="2"/>
  <c r="L40" i="2"/>
  <c r="O49" i="8"/>
  <c r="O71" i="8" s="1"/>
  <c r="P38" i="8"/>
  <c r="P34" i="8"/>
  <c r="P33" i="8"/>
  <c r="P39" i="8" s="1"/>
  <c r="Q32" i="8"/>
  <c r="L54" i="8"/>
  <c r="L57" i="8" s="1"/>
  <c r="K58" i="8"/>
  <c r="N36" i="7"/>
  <c r="N42" i="7" s="1"/>
  <c r="N47" i="7"/>
  <c r="N69" i="7" s="1"/>
  <c r="N46" i="8"/>
  <c r="N70" i="8"/>
  <c r="N73" i="8" s="1"/>
  <c r="K54" i="3"/>
  <c r="F60" i="8"/>
  <c r="L43" i="1"/>
  <c r="L37" i="1"/>
  <c r="I55" i="3"/>
  <c r="N28" i="2"/>
  <c r="N34" i="2" s="1"/>
  <c r="N33" i="2"/>
  <c r="N29" i="2"/>
  <c r="N35" i="2" s="1"/>
  <c r="O27" i="2"/>
  <c r="K95" i="3"/>
  <c r="L40" i="5"/>
  <c r="L46" i="5" s="1"/>
  <c r="L48" i="5" s="1"/>
  <c r="L49" i="5" s="1"/>
  <c r="M49" i="5" s="1"/>
  <c r="K38" i="1"/>
  <c r="K44" i="1" s="1"/>
  <c r="K46" i="1" s="1"/>
  <c r="K47" i="1" s="1"/>
  <c r="E80" i="8"/>
  <c r="J39" i="1"/>
  <c r="J40" i="1" s="1"/>
  <c r="M40" i="5"/>
  <c r="M46" i="5" s="1"/>
  <c r="M48" i="5" s="1"/>
  <c r="M32" i="2"/>
  <c r="M38" i="2" s="1"/>
  <c r="M44" i="7"/>
  <c r="M68" i="7"/>
  <c r="M71" i="7" s="1"/>
  <c r="O37" i="7"/>
  <c r="O32" i="7"/>
  <c r="O38" i="7" s="1"/>
  <c r="O33" i="7"/>
  <c r="O39" i="7" s="1"/>
  <c r="P31" i="7"/>
  <c r="O31" i="3"/>
  <c r="N33" i="3"/>
  <c r="N39" i="3" s="1"/>
  <c r="N78" i="3"/>
  <c r="N77" i="3" s="1"/>
  <c r="N83" i="3" s="1"/>
  <c r="N32" i="3"/>
  <c r="N38" i="3" s="1"/>
  <c r="N36" i="3" s="1"/>
  <c r="N43" i="3" s="1"/>
  <c r="F58" i="7"/>
  <c r="E63" i="7"/>
  <c r="E64" i="7" s="1"/>
  <c r="E65" i="7" s="1"/>
  <c r="N30" i="5"/>
  <c r="N37" i="5" s="1"/>
  <c r="J50" i="2"/>
  <c r="L51" i="3"/>
  <c r="L53" i="3" s="1"/>
  <c r="L45" i="3"/>
  <c r="L47" i="3" s="1"/>
  <c r="L48" i="3" s="1"/>
  <c r="M36" i="3"/>
  <c r="M43" i="3" s="1"/>
  <c r="L52" i="7"/>
  <c r="L55" i="7" s="1"/>
  <c r="K56" i="7"/>
  <c r="M29" i="1"/>
  <c r="M35" i="1" s="1"/>
  <c r="J42" i="2"/>
  <c r="J43" i="2" s="1"/>
  <c r="E79" i="7"/>
  <c r="P25" i="5"/>
  <c r="O31" i="5"/>
  <c r="O27" i="5"/>
  <c r="O33" i="5" s="1"/>
  <c r="O34" i="5" s="1"/>
  <c r="O26" i="5"/>
  <c r="O32" i="5" s="1"/>
  <c r="L94" i="3"/>
  <c r="O70" i="8" l="1"/>
  <c r="O73" i="8" s="1"/>
  <c r="O46" i="8"/>
  <c r="M46" i="2"/>
  <c r="M40" i="2"/>
  <c r="L54" i="3"/>
  <c r="K55" i="3" s="1"/>
  <c r="P24" i="1"/>
  <c r="O30" i="1"/>
  <c r="O26" i="1"/>
  <c r="O32" i="1" s="1"/>
  <c r="O25" i="1"/>
  <c r="O31" i="1" s="1"/>
  <c r="N45" i="5"/>
  <c r="N39" i="5"/>
  <c r="M52" i="7"/>
  <c r="M55" i="7" s="1"/>
  <c r="L56" i="7"/>
  <c r="P37" i="7"/>
  <c r="P32" i="7"/>
  <c r="P38" i="7" s="1"/>
  <c r="P33" i="7"/>
  <c r="P39" i="7" s="1"/>
  <c r="Q31" i="7"/>
  <c r="K39" i="1"/>
  <c r="K40" i="1" s="1"/>
  <c r="J55" i="3"/>
  <c r="M54" i="8"/>
  <c r="M57" i="8" s="1"/>
  <c r="L58" i="8"/>
  <c r="L41" i="2"/>
  <c r="L47" i="2" s="1"/>
  <c r="L42" i="2"/>
  <c r="L43" i="2" s="1"/>
  <c r="O30" i="5"/>
  <c r="O37" i="5" s="1"/>
  <c r="L41" i="5"/>
  <c r="L42" i="5" s="1"/>
  <c r="Q33" i="8"/>
  <c r="Q39" i="8" s="1"/>
  <c r="R32" i="8"/>
  <c r="Q34" i="8"/>
  <c r="Q38" i="8"/>
  <c r="L49" i="2"/>
  <c r="K42" i="2"/>
  <c r="K43" i="2" s="1"/>
  <c r="L38" i="1"/>
  <c r="L44" i="1" s="1"/>
  <c r="L46" i="1" s="1"/>
  <c r="L47" i="1" s="1"/>
  <c r="M41" i="5"/>
  <c r="M42" i="5" s="1"/>
  <c r="O47" i="7"/>
  <c r="O69" i="7" s="1"/>
  <c r="O36" i="7"/>
  <c r="O42" i="7" s="1"/>
  <c r="L95" i="3"/>
  <c r="P40" i="8"/>
  <c r="P37" i="8" s="1"/>
  <c r="P44" i="8" s="1"/>
  <c r="P41" i="8"/>
  <c r="M94" i="3"/>
  <c r="M51" i="3"/>
  <c r="M53" i="3" s="1"/>
  <c r="M45" i="3"/>
  <c r="M47" i="3" s="1"/>
  <c r="M48" i="3" s="1"/>
  <c r="E80" i="7"/>
  <c r="K50" i="2"/>
  <c r="N45" i="3"/>
  <c r="N47" i="3" s="1"/>
  <c r="N48" i="3" s="1"/>
  <c r="N51" i="3"/>
  <c r="N53" i="3" s="1"/>
  <c r="O28" i="2"/>
  <c r="O34" i="2" s="1"/>
  <c r="O33" i="2"/>
  <c r="O29" i="2"/>
  <c r="O35" i="2" s="1"/>
  <c r="P27" i="2"/>
  <c r="F47" i="8"/>
  <c r="P49" i="8"/>
  <c r="P71" i="8" s="1"/>
  <c r="M86" i="3"/>
  <c r="M92" i="3" s="1"/>
  <c r="M87" i="3"/>
  <c r="M88" i="3" s="1"/>
  <c r="F45" i="7"/>
  <c r="P31" i="5"/>
  <c r="P27" i="5"/>
  <c r="P33" i="5" s="1"/>
  <c r="P34" i="5" s="1"/>
  <c r="P26" i="5"/>
  <c r="P32" i="5" s="1"/>
  <c r="Q25" i="5"/>
  <c r="I51" i="2"/>
  <c r="N91" i="3"/>
  <c r="N85" i="3"/>
  <c r="E81" i="8"/>
  <c r="E65" i="8"/>
  <c r="E66" i="8" s="1"/>
  <c r="E67" i="8" s="1"/>
  <c r="P31" i="3"/>
  <c r="O33" i="3"/>
  <c r="O39" i="3" s="1"/>
  <c r="O78" i="3"/>
  <c r="O77" i="3" s="1"/>
  <c r="O83" i="3" s="1"/>
  <c r="O32" i="3"/>
  <c r="O38" i="3" s="1"/>
  <c r="O36" i="3" s="1"/>
  <c r="O43" i="3" s="1"/>
  <c r="M43" i="1"/>
  <c r="M37" i="1"/>
  <c r="N32" i="2"/>
  <c r="N38" i="2" s="1"/>
  <c r="N44" i="7"/>
  <c r="N68" i="7"/>
  <c r="N71" i="7" s="1"/>
  <c r="N29" i="1"/>
  <c r="N35" i="1" s="1"/>
  <c r="P70" i="8" l="1"/>
  <c r="P73" i="8" s="1"/>
  <c r="P78" i="8" s="1"/>
  <c r="P80" i="8" s="1"/>
  <c r="P46" i="8"/>
  <c r="P48" i="8" s="1"/>
  <c r="P50" i="8" s="1"/>
  <c r="P51" i="8" s="1"/>
  <c r="D82" i="8"/>
  <c r="Q41" i="8"/>
  <c r="Q40" i="8"/>
  <c r="N54" i="8"/>
  <c r="N57" i="8" s="1"/>
  <c r="M58" i="8"/>
  <c r="N52" i="7"/>
  <c r="N55" i="7" s="1"/>
  <c r="M56" i="7"/>
  <c r="R33" i="8"/>
  <c r="R39" i="8" s="1"/>
  <c r="S32" i="8"/>
  <c r="R38" i="8"/>
  <c r="R34" i="8"/>
  <c r="N40" i="5"/>
  <c r="N46" i="5" s="1"/>
  <c r="M54" i="3"/>
  <c r="L55" i="3"/>
  <c r="P30" i="5"/>
  <c r="P37" i="5" s="1"/>
  <c r="F76" i="8"/>
  <c r="F62" i="8"/>
  <c r="F48" i="8"/>
  <c r="F50" i="8" s="1"/>
  <c r="L50" i="2"/>
  <c r="N48" i="5"/>
  <c r="N49" i="5" s="1"/>
  <c r="M41" i="2"/>
  <c r="M47" i="2" s="1"/>
  <c r="O45" i="3"/>
  <c r="O47" i="3" s="1"/>
  <c r="O48" i="3" s="1"/>
  <c r="O51" i="3"/>
  <c r="O53" i="3" s="1"/>
  <c r="J51" i="2"/>
  <c r="L39" i="1"/>
  <c r="L40" i="1" s="1"/>
  <c r="Q37" i="7"/>
  <c r="Q33" i="7"/>
  <c r="Q39" i="7" s="1"/>
  <c r="Q32" i="7"/>
  <c r="Q38" i="7" s="1"/>
  <c r="R31" i="7"/>
  <c r="M49" i="2"/>
  <c r="O91" i="3"/>
  <c r="O85" i="3"/>
  <c r="N86" i="3"/>
  <c r="N92" i="3" s="1"/>
  <c r="F74" i="7"/>
  <c r="F60" i="7"/>
  <c r="F46" i="7"/>
  <c r="F48" i="7" s="1"/>
  <c r="P28" i="2"/>
  <c r="P34" i="2" s="1"/>
  <c r="P33" i="2"/>
  <c r="P29" i="2"/>
  <c r="P35" i="2" s="1"/>
  <c r="Q27" i="2"/>
  <c r="D81" i="7"/>
  <c r="O45" i="5"/>
  <c r="O39" i="5"/>
  <c r="N43" i="1"/>
  <c r="N37" i="1"/>
  <c r="N94" i="3"/>
  <c r="O29" i="1"/>
  <c r="O35" i="1" s="1"/>
  <c r="M38" i="1"/>
  <c r="M44" i="1" s="1"/>
  <c r="M46" i="1" s="1"/>
  <c r="M47" i="1" s="1"/>
  <c r="Q31" i="3"/>
  <c r="P33" i="3"/>
  <c r="P39" i="3" s="1"/>
  <c r="P78" i="3"/>
  <c r="P77" i="3" s="1"/>
  <c r="P83" i="3" s="1"/>
  <c r="P32" i="3"/>
  <c r="P38" i="3" s="1"/>
  <c r="P36" i="3" s="1"/>
  <c r="P43" i="3" s="1"/>
  <c r="O32" i="2"/>
  <c r="O38" i="2" s="1"/>
  <c r="M95" i="3"/>
  <c r="N95" i="3" s="1"/>
  <c r="P47" i="7"/>
  <c r="P69" i="7" s="1"/>
  <c r="P36" i="7"/>
  <c r="P42" i="7" s="1"/>
  <c r="Q24" i="1"/>
  <c r="P30" i="1"/>
  <c r="P26" i="1"/>
  <c r="P32" i="1" s="1"/>
  <c r="P25" i="1"/>
  <c r="P31" i="1" s="1"/>
  <c r="N46" i="2"/>
  <c r="N40" i="2"/>
  <c r="Q26" i="5"/>
  <c r="Q32" i="5" s="1"/>
  <c r="R25" i="5"/>
  <c r="Q31" i="5"/>
  <c r="Q27" i="5"/>
  <c r="Q33" i="5" s="1"/>
  <c r="Q34" i="5" s="1"/>
  <c r="O68" i="7"/>
  <c r="O71" i="7" s="1"/>
  <c r="O44" i="7"/>
  <c r="Q49" i="8"/>
  <c r="Q71" i="8" s="1"/>
  <c r="Q37" i="8"/>
  <c r="Q44" i="8" s="1"/>
  <c r="P68" i="7" l="1"/>
  <c r="P71" i="7" s="1"/>
  <c r="P76" i="7" s="1"/>
  <c r="P79" i="7" s="1"/>
  <c r="P44" i="7"/>
  <c r="P46" i="7" s="1"/>
  <c r="P48" i="7" s="1"/>
  <c r="P49" i="7" s="1"/>
  <c r="P32" i="2"/>
  <c r="P38" i="2" s="1"/>
  <c r="F51" i="8"/>
  <c r="F59" i="8"/>
  <c r="R41" i="8"/>
  <c r="R40" i="8"/>
  <c r="O40" i="5"/>
  <c r="O46" i="5" s="1"/>
  <c r="O48" i="5" s="1"/>
  <c r="O49" i="5" s="1"/>
  <c r="F75" i="8"/>
  <c r="F78" i="8" s="1"/>
  <c r="F63" i="8"/>
  <c r="R49" i="8"/>
  <c r="R71" i="8" s="1"/>
  <c r="R37" i="8"/>
  <c r="R44" i="8" s="1"/>
  <c r="F49" i="7"/>
  <c r="F57" i="7"/>
  <c r="S33" i="8"/>
  <c r="S39" i="8" s="1"/>
  <c r="T32" i="8"/>
  <c r="S38" i="8"/>
  <c r="S34" i="8"/>
  <c r="F73" i="7"/>
  <c r="F76" i="7" s="1"/>
  <c r="F61" i="7"/>
  <c r="R37" i="7"/>
  <c r="R33" i="7"/>
  <c r="R39" i="7" s="1"/>
  <c r="R32" i="7"/>
  <c r="R38" i="7" s="1"/>
  <c r="S31" i="7"/>
  <c r="P45" i="5"/>
  <c r="P39" i="5"/>
  <c r="Q70" i="8"/>
  <c r="Q73" i="8" s="1"/>
  <c r="Q78" i="8" s="1"/>
  <c r="Q80" i="8" s="1"/>
  <c r="Q46" i="8"/>
  <c r="Q48" i="8" s="1"/>
  <c r="Q50" i="8" s="1"/>
  <c r="Q51" i="8" s="1"/>
  <c r="M39" i="1"/>
  <c r="M40" i="1" s="1"/>
  <c r="P45" i="3"/>
  <c r="P47" i="3" s="1"/>
  <c r="P48" i="3" s="1"/>
  <c r="P51" i="3"/>
  <c r="P53" i="3" s="1"/>
  <c r="O43" i="1"/>
  <c r="O37" i="1"/>
  <c r="M42" i="2"/>
  <c r="M43" i="2" s="1"/>
  <c r="P91" i="3"/>
  <c r="P85" i="3"/>
  <c r="N54" i="3"/>
  <c r="N56" i="7"/>
  <c r="O52" i="7"/>
  <c r="O55" i="7" s="1"/>
  <c r="N41" i="2"/>
  <c r="N47" i="2" s="1"/>
  <c r="N49" i="2" s="1"/>
  <c r="P29" i="1"/>
  <c r="P35" i="1" s="1"/>
  <c r="N38" i="1"/>
  <c r="N44" i="1" s="1"/>
  <c r="N46" i="1" s="1"/>
  <c r="N47" i="1" s="1"/>
  <c r="Q28" i="2"/>
  <c r="Q34" i="2" s="1"/>
  <c r="Q33" i="2"/>
  <c r="Q32" i="2" s="1"/>
  <c r="Q38" i="2" s="1"/>
  <c r="Q29" i="2"/>
  <c r="Q35" i="2" s="1"/>
  <c r="R27" i="2"/>
  <c r="N87" i="3"/>
  <c r="N88" i="3" s="1"/>
  <c r="Q47" i="7"/>
  <c r="Q69" i="7" s="1"/>
  <c r="Q36" i="7"/>
  <c r="Q42" i="7" s="1"/>
  <c r="M50" i="2"/>
  <c r="O46" i="2"/>
  <c r="O40" i="2"/>
  <c r="Q30" i="5"/>
  <c r="Q37" i="5" s="1"/>
  <c r="R26" i="5"/>
  <c r="R32" i="5" s="1"/>
  <c r="S25" i="5"/>
  <c r="R31" i="5"/>
  <c r="R27" i="5"/>
  <c r="R33" i="5" s="1"/>
  <c r="R34" i="5" s="1"/>
  <c r="R24" i="1"/>
  <c r="Q30" i="1"/>
  <c r="Q26" i="1"/>
  <c r="Q32" i="1" s="1"/>
  <c r="Q25" i="1"/>
  <c r="Q31" i="1" s="1"/>
  <c r="Q33" i="3"/>
  <c r="Q39" i="3" s="1"/>
  <c r="Q78" i="3"/>
  <c r="Q77" i="3" s="1"/>
  <c r="Q83" i="3" s="1"/>
  <c r="Q32" i="3"/>
  <c r="Q38" i="3" s="1"/>
  <c r="R31" i="3"/>
  <c r="O86" i="3"/>
  <c r="O92" i="3" s="1"/>
  <c r="O94" i="3" s="1"/>
  <c r="O95" i="3" s="1"/>
  <c r="K51" i="2"/>
  <c r="N41" i="5"/>
  <c r="N42" i="5" s="1"/>
  <c r="O54" i="8"/>
  <c r="O57" i="8" s="1"/>
  <c r="N58" i="8"/>
  <c r="Q91" i="3" l="1"/>
  <c r="Q85" i="3"/>
  <c r="Q68" i="7"/>
  <c r="Q71" i="7" s="1"/>
  <c r="Q76" i="7" s="1"/>
  <c r="Q79" i="7" s="1"/>
  <c r="Q44" i="7"/>
  <c r="Q46" i="7" s="1"/>
  <c r="Q48" i="7" s="1"/>
  <c r="Q49" i="7" s="1"/>
  <c r="O54" i="3"/>
  <c r="P43" i="1"/>
  <c r="P37" i="1"/>
  <c r="T31" i="7"/>
  <c r="S33" i="7"/>
  <c r="S39" i="7" s="1"/>
  <c r="S37" i="7"/>
  <c r="S32" i="7"/>
  <c r="S38" i="7" s="1"/>
  <c r="S41" i="8"/>
  <c r="S40" i="8"/>
  <c r="R70" i="8"/>
  <c r="R73" i="8" s="1"/>
  <c r="R78" i="8" s="1"/>
  <c r="R80" i="8" s="1"/>
  <c r="R46" i="8"/>
  <c r="R48" i="8" s="1"/>
  <c r="R50" i="8" s="1"/>
  <c r="R51" i="8" s="1"/>
  <c r="F64" i="8"/>
  <c r="F79" i="8" s="1"/>
  <c r="P54" i="8"/>
  <c r="P57" i="8" s="1"/>
  <c r="O58" i="8"/>
  <c r="P86" i="3"/>
  <c r="P92" i="3" s="1"/>
  <c r="S49" i="8"/>
  <c r="S71" i="8" s="1"/>
  <c r="S37" i="8"/>
  <c r="S44" i="8" s="1"/>
  <c r="O42" i="2"/>
  <c r="O43" i="2" s="1"/>
  <c r="O41" i="2"/>
  <c r="O47" i="2" s="1"/>
  <c r="O49" i="2" s="1"/>
  <c r="R33" i="2"/>
  <c r="R29" i="2"/>
  <c r="R35" i="2" s="1"/>
  <c r="S27" i="2"/>
  <c r="R28" i="2"/>
  <c r="R34" i="2" s="1"/>
  <c r="P94" i="3"/>
  <c r="P95" i="3" s="1"/>
  <c r="T33" i="8"/>
  <c r="T39" i="8" s="1"/>
  <c r="U32" i="8"/>
  <c r="T38" i="8"/>
  <c r="T34" i="8"/>
  <c r="G60" i="8"/>
  <c r="Q29" i="1"/>
  <c r="Q35" i="1" s="1"/>
  <c r="N42" i="2"/>
  <c r="N43" i="2" s="1"/>
  <c r="R47" i="7"/>
  <c r="R69" i="7" s="1"/>
  <c r="R36" i="7"/>
  <c r="R42" i="7" s="1"/>
  <c r="F80" i="8"/>
  <c r="P46" i="2"/>
  <c r="P40" i="2"/>
  <c r="S26" i="5"/>
  <c r="S32" i="5" s="1"/>
  <c r="T25" i="5"/>
  <c r="S31" i="5"/>
  <c r="S30" i="5" s="1"/>
  <c r="S37" i="5" s="1"/>
  <c r="S27" i="5"/>
  <c r="S33" i="5" s="1"/>
  <c r="S34" i="5" s="1"/>
  <c r="Q45" i="5"/>
  <c r="Q39" i="5"/>
  <c r="R30" i="1"/>
  <c r="R26" i="1"/>
  <c r="R32" i="1" s="1"/>
  <c r="R25" i="1"/>
  <c r="R31" i="1" s="1"/>
  <c r="S24" i="1"/>
  <c r="Q46" i="2"/>
  <c r="Q40" i="2"/>
  <c r="O56" i="7"/>
  <c r="P52" i="7"/>
  <c r="P55" i="7" s="1"/>
  <c r="G58" i="7"/>
  <c r="F62" i="7"/>
  <c r="F77" i="7" s="1"/>
  <c r="F79" i="7"/>
  <c r="O41" i="5"/>
  <c r="O42" i="5" s="1"/>
  <c r="O87" i="3"/>
  <c r="O88" i="3" s="1"/>
  <c r="R78" i="3"/>
  <c r="R77" i="3" s="1"/>
  <c r="R83" i="3" s="1"/>
  <c r="R32" i="3"/>
  <c r="R38" i="3" s="1"/>
  <c r="S31" i="3"/>
  <c r="R33" i="3"/>
  <c r="R39" i="3" s="1"/>
  <c r="N50" i="2"/>
  <c r="M51" i="2"/>
  <c r="Q36" i="3"/>
  <c r="Q43" i="3" s="1"/>
  <c r="R30" i="5"/>
  <c r="R37" i="5" s="1"/>
  <c r="L51" i="2"/>
  <c r="N39" i="1"/>
  <c r="N40" i="1" s="1"/>
  <c r="M55" i="3"/>
  <c r="O38" i="1"/>
  <c r="O44" i="1" s="1"/>
  <c r="O46" i="1" s="1"/>
  <c r="O47" i="1" s="1"/>
  <c r="O39" i="1"/>
  <c r="O40" i="1" s="1"/>
  <c r="P40" i="5"/>
  <c r="P46" i="5" s="1"/>
  <c r="P48" i="5" s="1"/>
  <c r="P49" i="5" s="1"/>
  <c r="Q41" i="2" l="1"/>
  <c r="Q47" i="2" s="1"/>
  <c r="Q42" i="2"/>
  <c r="Q43" i="2" s="1"/>
  <c r="R68" i="7"/>
  <c r="R71" i="7" s="1"/>
  <c r="R76" i="7" s="1"/>
  <c r="R79" i="7" s="1"/>
  <c r="R44" i="7"/>
  <c r="R46" i="7" s="1"/>
  <c r="R48" i="7" s="1"/>
  <c r="R49" i="7" s="1"/>
  <c r="T49" i="8"/>
  <c r="T71" i="8" s="1"/>
  <c r="S36" i="7"/>
  <c r="S42" i="7" s="1"/>
  <c r="S47" i="7"/>
  <c r="S69" i="7" s="1"/>
  <c r="P54" i="3"/>
  <c r="V32" i="8"/>
  <c r="U38" i="8"/>
  <c r="U34" i="8"/>
  <c r="U33" i="8"/>
  <c r="U39" i="8" s="1"/>
  <c r="T26" i="5"/>
  <c r="T32" i="5" s="1"/>
  <c r="U25" i="5"/>
  <c r="T31" i="5"/>
  <c r="T27" i="5"/>
  <c r="T33" i="5" s="1"/>
  <c r="T34" i="5" s="1"/>
  <c r="S70" i="8"/>
  <c r="S73" i="8" s="1"/>
  <c r="S78" i="8" s="1"/>
  <c r="S80" i="8" s="1"/>
  <c r="S46" i="8"/>
  <c r="S48" i="8" s="1"/>
  <c r="S50" i="8" s="1"/>
  <c r="S51" i="8" s="1"/>
  <c r="T37" i="7"/>
  <c r="T33" i="7"/>
  <c r="T39" i="7" s="1"/>
  <c r="U31" i="7"/>
  <c r="T32" i="7"/>
  <c r="T38" i="7" s="1"/>
  <c r="R36" i="3"/>
  <c r="R43" i="3" s="1"/>
  <c r="P38" i="1"/>
  <c r="P44" i="1" s="1"/>
  <c r="P39" i="1"/>
  <c r="P40" i="1" s="1"/>
  <c r="Q87" i="3"/>
  <c r="Q88" i="3" s="1"/>
  <c r="Q86" i="3"/>
  <c r="Q92" i="3" s="1"/>
  <c r="S78" i="3"/>
  <c r="S77" i="3" s="1"/>
  <c r="S83" i="3" s="1"/>
  <c r="S32" i="3"/>
  <c r="S38" i="3" s="1"/>
  <c r="T31" i="3"/>
  <c r="S33" i="3"/>
  <c r="S39" i="3" s="1"/>
  <c r="R91" i="3"/>
  <c r="R85" i="3"/>
  <c r="G45" i="7"/>
  <c r="P41" i="2"/>
  <c r="P47" i="2" s="1"/>
  <c r="Q43" i="1"/>
  <c r="Q37" i="1"/>
  <c r="P46" i="1"/>
  <c r="P47" i="1" s="1"/>
  <c r="Q94" i="3"/>
  <c r="Q95" i="3" s="1"/>
  <c r="S25" i="1"/>
  <c r="S31" i="1" s="1"/>
  <c r="T24" i="1"/>
  <c r="S30" i="1"/>
  <c r="S26" i="1"/>
  <c r="S32" i="1" s="1"/>
  <c r="P41" i="5"/>
  <c r="P42" i="5" s="1"/>
  <c r="F63" i="7"/>
  <c r="F64" i="7" s="1"/>
  <c r="F65" i="7" s="1"/>
  <c r="R29" i="1"/>
  <c r="R35" i="1" s="1"/>
  <c r="P49" i="2"/>
  <c r="G47" i="8"/>
  <c r="S33" i="2"/>
  <c r="S29" i="2"/>
  <c r="S35" i="2" s="1"/>
  <c r="T27" i="2"/>
  <c r="S28" i="2"/>
  <c r="S34" i="2" s="1"/>
  <c r="P87" i="3"/>
  <c r="P88" i="3" s="1"/>
  <c r="Q49" i="2"/>
  <c r="R45" i="5"/>
  <c r="R39" i="5"/>
  <c r="Q45" i="3"/>
  <c r="Q47" i="3" s="1"/>
  <c r="Q48" i="3" s="1"/>
  <c r="Q51" i="3"/>
  <c r="Q53" i="3" s="1"/>
  <c r="Q52" i="7"/>
  <c r="Q55" i="7" s="1"/>
  <c r="P56" i="7"/>
  <c r="Q40" i="5"/>
  <c r="Q46" i="5" s="1"/>
  <c r="Q48" i="5" s="1"/>
  <c r="Q49" i="5" s="1"/>
  <c r="F65" i="8"/>
  <c r="F66" i="8" s="1"/>
  <c r="F67" i="8" s="1"/>
  <c r="S45" i="5"/>
  <c r="S39" i="5"/>
  <c r="O50" i="2"/>
  <c r="N51" i="2"/>
  <c r="F80" i="7"/>
  <c r="F81" i="8"/>
  <c r="T41" i="8"/>
  <c r="T40" i="8"/>
  <c r="T37" i="8" s="1"/>
  <c r="T44" i="8" s="1"/>
  <c r="R32" i="2"/>
  <c r="R38" i="2" s="1"/>
  <c r="P58" i="8"/>
  <c r="Q54" i="8"/>
  <c r="Q57" i="8" s="1"/>
  <c r="N55" i="3"/>
  <c r="T70" i="8" l="1"/>
  <c r="T73" i="8" s="1"/>
  <c r="T78" i="8" s="1"/>
  <c r="T80" i="8" s="1"/>
  <c r="T46" i="8"/>
  <c r="T48" i="8" s="1"/>
  <c r="T50" i="8" s="1"/>
  <c r="T51" i="8" s="1"/>
  <c r="R40" i="5"/>
  <c r="R46" i="5" s="1"/>
  <c r="T25" i="1"/>
  <c r="T31" i="1" s="1"/>
  <c r="U24" i="1"/>
  <c r="T30" i="1"/>
  <c r="T26" i="1"/>
  <c r="T32" i="1" s="1"/>
  <c r="T36" i="7"/>
  <c r="T42" i="7" s="1"/>
  <c r="T47" i="7"/>
  <c r="T69" i="7" s="1"/>
  <c r="U40" i="8"/>
  <c r="U37" i="8" s="1"/>
  <c r="U44" i="8" s="1"/>
  <c r="U41" i="8"/>
  <c r="G74" i="7"/>
  <c r="G60" i="7"/>
  <c r="G46" i="7"/>
  <c r="G48" i="7" s="1"/>
  <c r="U49" i="8"/>
  <c r="U71" i="8" s="1"/>
  <c r="Q41" i="5"/>
  <c r="Q42" i="5" s="1"/>
  <c r="R86" i="3"/>
  <c r="R92" i="3" s="1"/>
  <c r="R94" i="3" s="1"/>
  <c r="R95" i="3" s="1"/>
  <c r="W32" i="8"/>
  <c r="V38" i="8"/>
  <c r="V34" i="8"/>
  <c r="V33" i="8"/>
  <c r="V39" i="8" s="1"/>
  <c r="R46" i="2"/>
  <c r="R40" i="2"/>
  <c r="R43" i="1"/>
  <c r="R37" i="1"/>
  <c r="Q54" i="3"/>
  <c r="R48" i="5"/>
  <c r="R49" i="5" s="1"/>
  <c r="E82" i="8"/>
  <c r="Q38" i="1"/>
  <c r="Q44" i="1" s="1"/>
  <c r="R51" i="3"/>
  <c r="R53" i="3" s="1"/>
  <c r="R45" i="3"/>
  <c r="R47" i="3" s="1"/>
  <c r="R48" i="3" s="1"/>
  <c r="T30" i="5"/>
  <c r="T37" i="5" s="1"/>
  <c r="O55" i="3"/>
  <c r="P50" i="2"/>
  <c r="O51" i="2" s="1"/>
  <c r="R52" i="7"/>
  <c r="R55" i="7" s="1"/>
  <c r="Q56" i="7"/>
  <c r="T33" i="2"/>
  <c r="T29" i="2"/>
  <c r="T35" i="2" s="1"/>
  <c r="U27" i="2"/>
  <c r="T28" i="2"/>
  <c r="T34" i="2" s="1"/>
  <c r="Q46" i="1"/>
  <c r="Q47" i="1" s="1"/>
  <c r="T78" i="3"/>
  <c r="T77" i="3" s="1"/>
  <c r="T83" i="3" s="1"/>
  <c r="T32" i="3"/>
  <c r="T38" i="3" s="1"/>
  <c r="U31" i="3"/>
  <c r="T33" i="3"/>
  <c r="T39" i="3" s="1"/>
  <c r="V25" i="5"/>
  <c r="U31" i="5"/>
  <c r="U27" i="5"/>
  <c r="U33" i="5" s="1"/>
  <c r="U34" i="5" s="1"/>
  <c r="U26" i="5"/>
  <c r="U32" i="5" s="1"/>
  <c r="G76" i="8"/>
  <c r="G62" i="8"/>
  <c r="G48" i="8"/>
  <c r="G50" i="8" s="1"/>
  <c r="S40" i="5"/>
  <c r="S46" i="5" s="1"/>
  <c r="S48" i="5" s="1"/>
  <c r="S41" i="5"/>
  <c r="S42" i="5" s="1"/>
  <c r="S36" i="3"/>
  <c r="S43" i="3" s="1"/>
  <c r="U37" i="7"/>
  <c r="U33" i="7"/>
  <c r="U39" i="7" s="1"/>
  <c r="V31" i="7"/>
  <c r="U32" i="7"/>
  <c r="U38" i="7" s="1"/>
  <c r="S68" i="7"/>
  <c r="S71" i="7" s="1"/>
  <c r="S76" i="7" s="1"/>
  <c r="S79" i="7" s="1"/>
  <c r="S44" i="7"/>
  <c r="S46" i="7" s="1"/>
  <c r="S48" i="7" s="1"/>
  <c r="S49" i="7" s="1"/>
  <c r="E81" i="7"/>
  <c r="Q58" i="8"/>
  <c r="R54" i="8"/>
  <c r="R57" i="8" s="1"/>
  <c r="S32" i="2"/>
  <c r="S38" i="2" s="1"/>
  <c r="S29" i="1"/>
  <c r="S35" i="1" s="1"/>
  <c r="P42" i="2"/>
  <c r="P43" i="2" s="1"/>
  <c r="S91" i="3"/>
  <c r="S85" i="3"/>
  <c r="S49" i="5" l="1"/>
  <c r="U70" i="8"/>
  <c r="U73" i="8" s="1"/>
  <c r="U78" i="8" s="1"/>
  <c r="U80" i="8" s="1"/>
  <c r="U46" i="8"/>
  <c r="U48" i="8" s="1"/>
  <c r="U50" i="8" s="1"/>
  <c r="U51" i="8" s="1"/>
  <c r="S54" i="8"/>
  <c r="S57" i="8" s="1"/>
  <c r="R58" i="8"/>
  <c r="V37" i="7"/>
  <c r="V33" i="7"/>
  <c r="V39" i="7" s="1"/>
  <c r="V32" i="7"/>
  <c r="V38" i="7" s="1"/>
  <c r="W31" i="7"/>
  <c r="T91" i="3"/>
  <c r="T85" i="3"/>
  <c r="R38" i="1"/>
  <c r="R44" i="1" s="1"/>
  <c r="R46" i="1" s="1"/>
  <c r="R47" i="1" s="1"/>
  <c r="R87" i="3"/>
  <c r="R88" i="3" s="1"/>
  <c r="R41" i="5"/>
  <c r="R42" i="5" s="1"/>
  <c r="Q50" i="2"/>
  <c r="P51" i="2"/>
  <c r="R41" i="2"/>
  <c r="R47" i="2" s="1"/>
  <c r="R49" i="2" s="1"/>
  <c r="R42" i="2"/>
  <c r="R43" i="2" s="1"/>
  <c r="S51" i="3"/>
  <c r="S53" i="3" s="1"/>
  <c r="S45" i="3"/>
  <c r="S47" i="3" s="1"/>
  <c r="S48" i="3" s="1"/>
  <c r="U30" i="5"/>
  <c r="U37" i="5" s="1"/>
  <c r="U28" i="2"/>
  <c r="U34" i="2" s="1"/>
  <c r="U33" i="2"/>
  <c r="U29" i="2"/>
  <c r="U35" i="2" s="1"/>
  <c r="V27" i="2"/>
  <c r="T45" i="5"/>
  <c r="T39" i="5"/>
  <c r="T68" i="7"/>
  <c r="T71" i="7" s="1"/>
  <c r="T76" i="7" s="1"/>
  <c r="T79" i="7" s="1"/>
  <c r="T44" i="7"/>
  <c r="T46" i="7" s="1"/>
  <c r="T48" i="7" s="1"/>
  <c r="T49" i="7" s="1"/>
  <c r="U36" i="7"/>
  <c r="U42" i="7" s="1"/>
  <c r="U47" i="7"/>
  <c r="U69" i="7" s="1"/>
  <c r="W25" i="5"/>
  <c r="V31" i="5"/>
  <c r="V30" i="5" s="1"/>
  <c r="V37" i="5" s="1"/>
  <c r="V27" i="5"/>
  <c r="V33" i="5" s="1"/>
  <c r="V34" i="5" s="1"/>
  <c r="V26" i="5"/>
  <c r="V32" i="5" s="1"/>
  <c r="T32" i="2"/>
  <c r="T38" i="2" s="1"/>
  <c r="R54" i="3"/>
  <c r="V40" i="8"/>
  <c r="V37" i="8" s="1"/>
  <c r="V44" i="8" s="1"/>
  <c r="V41" i="8"/>
  <c r="G49" i="7"/>
  <c r="G57" i="7"/>
  <c r="T29" i="1"/>
  <c r="T35" i="1" s="1"/>
  <c r="S46" i="2"/>
  <c r="S40" i="2"/>
  <c r="G51" i="8"/>
  <c r="G59" i="8"/>
  <c r="U78" i="3"/>
  <c r="U77" i="3" s="1"/>
  <c r="U83" i="3" s="1"/>
  <c r="U32" i="3"/>
  <c r="U38" i="3" s="1"/>
  <c r="V31" i="3"/>
  <c r="U33" i="3"/>
  <c r="U39" i="3" s="1"/>
  <c r="Q39" i="1"/>
  <c r="Q40" i="1" s="1"/>
  <c r="P55" i="3"/>
  <c r="V49" i="8"/>
  <c r="V71" i="8" s="1"/>
  <c r="G73" i="7"/>
  <c r="G76" i="7" s="1"/>
  <c r="G61" i="7"/>
  <c r="U25" i="1"/>
  <c r="U31" i="1" s="1"/>
  <c r="V24" i="1"/>
  <c r="U30" i="1"/>
  <c r="U26" i="1"/>
  <c r="U32" i="1" s="1"/>
  <c r="S86" i="3"/>
  <c r="S92" i="3" s="1"/>
  <c r="S94" i="3" s="1"/>
  <c r="S95" i="3" s="1"/>
  <c r="S43" i="1"/>
  <c r="S37" i="1"/>
  <c r="G75" i="8"/>
  <c r="G78" i="8" s="1"/>
  <c r="G63" i="8"/>
  <c r="T36" i="3"/>
  <c r="T43" i="3" s="1"/>
  <c r="S52" i="7"/>
  <c r="S55" i="7" s="1"/>
  <c r="R56" i="7"/>
  <c r="W38" i="8"/>
  <c r="W34" i="8"/>
  <c r="W33" i="8"/>
  <c r="W39" i="8" s="1"/>
  <c r="A32" i="8"/>
  <c r="V70" i="8" l="1"/>
  <c r="V73" i="8" s="1"/>
  <c r="V78" i="8" s="1"/>
  <c r="V80" i="8" s="1"/>
  <c r="V46" i="8"/>
  <c r="V48" i="8" s="1"/>
  <c r="V50" i="8" s="1"/>
  <c r="V51" i="8" s="1"/>
  <c r="U91" i="3"/>
  <c r="U85" i="3"/>
  <c r="T40" i="5"/>
  <c r="T46" i="5" s="1"/>
  <c r="V36" i="7"/>
  <c r="V42" i="7" s="1"/>
  <c r="V47" i="7"/>
  <c r="V69" i="7" s="1"/>
  <c r="V45" i="5"/>
  <c r="V39" i="5"/>
  <c r="W31" i="5"/>
  <c r="W30" i="5" s="1"/>
  <c r="W37" i="5" s="1"/>
  <c r="W27" i="5"/>
  <c r="W33" i="5" s="1"/>
  <c r="W34" i="5" s="1"/>
  <c r="W26" i="5"/>
  <c r="W32" i="5" s="1"/>
  <c r="V28" i="2"/>
  <c r="V34" i="2" s="1"/>
  <c r="V33" i="2"/>
  <c r="V29" i="2"/>
  <c r="V35" i="2" s="1"/>
  <c r="W27" i="2"/>
  <c r="R39" i="1"/>
  <c r="R40" i="1" s="1"/>
  <c r="T54" i="8"/>
  <c r="T57" i="8" s="1"/>
  <c r="S58" i="8"/>
  <c r="G64" i="8"/>
  <c r="G79" i="8" s="1"/>
  <c r="T51" i="3"/>
  <c r="T53" i="3" s="1"/>
  <c r="T45" i="3"/>
  <c r="T47" i="3" s="1"/>
  <c r="T48" i="3" s="1"/>
  <c r="S41" i="2"/>
  <c r="S47" i="2" s="1"/>
  <c r="S49" i="2" s="1"/>
  <c r="S42" i="2"/>
  <c r="S43" i="2" s="1"/>
  <c r="R55" i="3"/>
  <c r="S54" i="3"/>
  <c r="T86" i="3"/>
  <c r="T92" i="3" s="1"/>
  <c r="T87" i="3"/>
  <c r="T88" i="3" s="1"/>
  <c r="G80" i="8"/>
  <c r="V25" i="1"/>
  <c r="V31" i="1" s="1"/>
  <c r="W24" i="1"/>
  <c r="V30" i="1"/>
  <c r="V29" i="1" s="1"/>
  <c r="V35" i="1" s="1"/>
  <c r="V26" i="1"/>
  <c r="V32" i="1" s="1"/>
  <c r="Q55" i="3"/>
  <c r="U44" i="7"/>
  <c r="U46" i="7" s="1"/>
  <c r="U48" i="7" s="1"/>
  <c r="U49" i="7" s="1"/>
  <c r="U68" i="7"/>
  <c r="U71" i="7" s="1"/>
  <c r="U76" i="7" s="1"/>
  <c r="U79" i="7" s="1"/>
  <c r="U32" i="2"/>
  <c r="U38" i="2" s="1"/>
  <c r="T94" i="3"/>
  <c r="T95" i="3" s="1"/>
  <c r="T46" i="2"/>
  <c r="T40" i="2"/>
  <c r="W37" i="7"/>
  <c r="W33" i="7"/>
  <c r="W32" i="7"/>
  <c r="W38" i="7" s="1"/>
  <c r="A31" i="7"/>
  <c r="H60" i="8"/>
  <c r="G65" i="8"/>
  <c r="G66" i="8" s="1"/>
  <c r="G67" i="8" s="1"/>
  <c r="S39" i="1"/>
  <c r="S40" i="1" s="1"/>
  <c r="S38" i="1"/>
  <c r="S44" i="1" s="1"/>
  <c r="S46" i="1"/>
  <c r="S47" i="1" s="1"/>
  <c r="H58" i="7"/>
  <c r="W31" i="3"/>
  <c r="V33" i="3"/>
  <c r="V39" i="3" s="1"/>
  <c r="V78" i="3"/>
  <c r="V77" i="3" s="1"/>
  <c r="V83" i="3" s="1"/>
  <c r="V32" i="3"/>
  <c r="V38" i="3" s="1"/>
  <c r="V36" i="3" s="1"/>
  <c r="V43" i="3" s="1"/>
  <c r="T43" i="1"/>
  <c r="T37" i="1"/>
  <c r="U45" i="5"/>
  <c r="U39" i="5"/>
  <c r="R50" i="2"/>
  <c r="T52" i="7"/>
  <c r="T55" i="7" s="1"/>
  <c r="S56" i="7"/>
  <c r="T48" i="5"/>
  <c r="U29" i="1"/>
  <c r="U35" i="1" s="1"/>
  <c r="W40" i="8"/>
  <c r="W41" i="8"/>
  <c r="W49" i="8"/>
  <c r="W71" i="8" s="1"/>
  <c r="W37" i="8"/>
  <c r="W44" i="8" s="1"/>
  <c r="S87" i="3"/>
  <c r="S88" i="3" s="1"/>
  <c r="G79" i="7"/>
  <c r="U36" i="3"/>
  <c r="U43" i="3" s="1"/>
  <c r="G62" i="7"/>
  <c r="G77" i="7" s="1"/>
  <c r="T49" i="5"/>
  <c r="V43" i="1" l="1"/>
  <c r="V37" i="1"/>
  <c r="U54" i="8"/>
  <c r="U57" i="8" s="1"/>
  <c r="T58" i="8"/>
  <c r="W45" i="5"/>
  <c r="W39" i="5"/>
  <c r="U86" i="3"/>
  <c r="U92" i="3" s="1"/>
  <c r="U87" i="3"/>
  <c r="U88" i="3" s="1"/>
  <c r="U52" i="7"/>
  <c r="U55" i="7" s="1"/>
  <c r="T56" i="7"/>
  <c r="R51" i="2"/>
  <c r="S50" i="2"/>
  <c r="H47" i="8"/>
  <c r="U46" i="2"/>
  <c r="U40" i="2"/>
  <c r="U94" i="3"/>
  <c r="U95" i="3" s="1"/>
  <c r="W30" i="1"/>
  <c r="W26" i="1"/>
  <c r="W32" i="1" s="1"/>
  <c r="W25" i="1"/>
  <c r="W31" i="1" s="1"/>
  <c r="Q51" i="2"/>
  <c r="W28" i="2"/>
  <c r="W34" i="2" s="1"/>
  <c r="W33" i="2"/>
  <c r="W29" i="2"/>
  <c r="A27" i="2"/>
  <c r="V40" i="5"/>
  <c r="V46" i="5" s="1"/>
  <c r="V48" i="5" s="1"/>
  <c r="G80" i="7"/>
  <c r="U40" i="5"/>
  <c r="U46" i="5" s="1"/>
  <c r="U48" i="5" s="1"/>
  <c r="U49" i="5" s="1"/>
  <c r="V49" i="5" s="1"/>
  <c r="H45" i="7"/>
  <c r="G81" i="8"/>
  <c r="V45" i="3"/>
  <c r="V47" i="3" s="1"/>
  <c r="V48" i="3" s="1"/>
  <c r="V51" i="3"/>
  <c r="V53" i="3" s="1"/>
  <c r="G63" i="7"/>
  <c r="G64" i="7" s="1"/>
  <c r="G65" i="7" s="1"/>
  <c r="W39" i="7"/>
  <c r="W36" i="7" s="1"/>
  <c r="W42" i="7" s="1"/>
  <c r="A33" i="7"/>
  <c r="V32" i="2"/>
  <c r="V38" i="2" s="1"/>
  <c r="V91" i="3"/>
  <c r="V85" i="3"/>
  <c r="U51" i="3"/>
  <c r="U53" i="3" s="1"/>
  <c r="U45" i="3"/>
  <c r="U47" i="3" s="1"/>
  <c r="U48" i="3" s="1"/>
  <c r="U43" i="1"/>
  <c r="U37" i="1"/>
  <c r="T38" i="1"/>
  <c r="T44" i="1" s="1"/>
  <c r="W47" i="7"/>
  <c r="W69" i="7" s="1"/>
  <c r="V44" i="7"/>
  <c r="V46" i="7" s="1"/>
  <c r="V48" i="7" s="1"/>
  <c r="V49" i="7" s="1"/>
  <c r="V68" i="7"/>
  <c r="V71" i="7" s="1"/>
  <c r="V76" i="7" s="1"/>
  <c r="V79" i="7" s="1"/>
  <c r="W70" i="8"/>
  <c r="W73" i="8" s="1"/>
  <c r="W46" i="8"/>
  <c r="W48" i="8" s="1"/>
  <c r="W50" i="8" s="1"/>
  <c r="W51" i="8" s="1"/>
  <c r="W33" i="3"/>
  <c r="W39" i="3" s="1"/>
  <c r="W78" i="3"/>
  <c r="W77" i="3" s="1"/>
  <c r="W83" i="3" s="1"/>
  <c r="W32" i="3"/>
  <c r="W38" i="3" s="1"/>
  <c r="W36" i="3" s="1"/>
  <c r="W43" i="3" s="1"/>
  <c r="T46" i="1"/>
  <c r="T47" i="1" s="1"/>
  <c r="T41" i="2"/>
  <c r="T47" i="2" s="1"/>
  <c r="T49" i="2" s="1"/>
  <c r="T42" i="2"/>
  <c r="T43" i="2" s="1"/>
  <c r="T54" i="3"/>
  <c r="T41" i="5"/>
  <c r="T42" i="5" s="1"/>
  <c r="W68" i="7" l="1"/>
  <c r="W71" i="7" s="1"/>
  <c r="W44" i="7"/>
  <c r="W46" i="7" s="1"/>
  <c r="W48" i="7" s="1"/>
  <c r="W49" i="7" s="1"/>
  <c r="V54" i="8"/>
  <c r="V57" i="8" s="1"/>
  <c r="U58" i="8"/>
  <c r="V41" i="5"/>
  <c r="V42" i="5" s="1"/>
  <c r="W29" i="1"/>
  <c r="W35" i="1" s="1"/>
  <c r="W78" i="8"/>
  <c r="W80" i="8" s="1"/>
  <c r="C86" i="8"/>
  <c r="H74" i="7"/>
  <c r="H60" i="7"/>
  <c r="H46" i="7"/>
  <c r="H48" i="7" s="1"/>
  <c r="V52" i="7"/>
  <c r="V55" i="7" s="1"/>
  <c r="U56" i="7"/>
  <c r="V38" i="1"/>
  <c r="V44" i="1" s="1"/>
  <c r="V39" i="1"/>
  <c r="V40" i="1" s="1"/>
  <c r="W35" i="2"/>
  <c r="W32" i="2" s="1"/>
  <c r="W38" i="2" s="1"/>
  <c r="A29" i="2"/>
  <c r="U41" i="2"/>
  <c r="U47" i="2" s="1"/>
  <c r="V46" i="1"/>
  <c r="U54" i="3"/>
  <c r="T55" i="3"/>
  <c r="V86" i="3"/>
  <c r="V92" i="3" s="1"/>
  <c r="V94" i="3" s="1"/>
  <c r="V95" i="3" s="1"/>
  <c r="U41" i="5"/>
  <c r="U42" i="5" s="1"/>
  <c r="U49" i="2"/>
  <c r="W45" i="3"/>
  <c r="W47" i="3" s="1"/>
  <c r="W48" i="3" s="1"/>
  <c r="W51" i="3"/>
  <c r="W53" i="3" s="1"/>
  <c r="F81" i="7"/>
  <c r="W40" i="5"/>
  <c r="W46" i="5" s="1"/>
  <c r="W48" i="5" s="1"/>
  <c r="U39" i="1"/>
  <c r="U40" i="1" s="1"/>
  <c r="U38" i="1"/>
  <c r="U44" i="1" s="1"/>
  <c r="U46" i="1" s="1"/>
  <c r="U47" i="1" s="1"/>
  <c r="V47" i="1" s="1"/>
  <c r="V46" i="2"/>
  <c r="V40" i="2"/>
  <c r="F82" i="8"/>
  <c r="H76" i="8"/>
  <c r="H62" i="8"/>
  <c r="H48" i="8"/>
  <c r="H50" i="8" s="1"/>
  <c r="W91" i="3"/>
  <c r="W85" i="3"/>
  <c r="S55" i="3"/>
  <c r="T39" i="1"/>
  <c r="T40" i="1" s="1"/>
  <c r="S51" i="2"/>
  <c r="T50" i="2"/>
  <c r="W46" i="2" l="1"/>
  <c r="W40" i="2"/>
  <c r="C52" i="5"/>
  <c r="W49" i="5"/>
  <c r="V56" i="7"/>
  <c r="W52" i="7"/>
  <c r="W55" i="7" s="1"/>
  <c r="W56" i="7" s="1"/>
  <c r="H49" i="7"/>
  <c r="H57" i="7"/>
  <c r="W41" i="5"/>
  <c r="W42" i="5" s="1"/>
  <c r="U42" i="2"/>
  <c r="U43" i="2" s="1"/>
  <c r="H73" i="7"/>
  <c r="H76" i="7" s="1"/>
  <c r="H61" i="7"/>
  <c r="W54" i="8"/>
  <c r="W57" i="8" s="1"/>
  <c r="W58" i="8" s="1"/>
  <c r="V58" i="8"/>
  <c r="W86" i="3"/>
  <c r="W92" i="3" s="1"/>
  <c r="W94" i="3" s="1"/>
  <c r="W76" i="7"/>
  <c r="W79" i="7" s="1"/>
  <c r="C85" i="7"/>
  <c r="V87" i="3"/>
  <c r="V88" i="3" s="1"/>
  <c r="H51" i="8"/>
  <c r="H59" i="8"/>
  <c r="V41" i="2"/>
  <c r="V47" i="2" s="1"/>
  <c r="V49" i="2" s="1"/>
  <c r="U50" i="2"/>
  <c r="H75" i="8"/>
  <c r="H78" i="8" s="1"/>
  <c r="H63" i="8"/>
  <c r="C59" i="3"/>
  <c r="C62" i="3"/>
  <c r="C63" i="3"/>
  <c r="V54" i="3"/>
  <c r="U55" i="3"/>
  <c r="W43" i="1"/>
  <c r="W37" i="1"/>
  <c r="C98" i="3" l="1"/>
  <c r="W95" i="3"/>
  <c r="I58" i="7"/>
  <c r="V50" i="2"/>
  <c r="U51" i="2"/>
  <c r="T51" i="2"/>
  <c r="H79" i="7"/>
  <c r="W41" i="2"/>
  <c r="W47" i="2" s="1"/>
  <c r="W49" i="2" s="1"/>
  <c r="H80" i="8"/>
  <c r="W54" i="3"/>
  <c r="V55" i="3"/>
  <c r="W87" i="3"/>
  <c r="W88" i="3" s="1"/>
  <c r="H62" i="7"/>
  <c r="H77" i="7" s="1"/>
  <c r="V42" i="2"/>
  <c r="V43" i="2" s="1"/>
  <c r="H64" i="8"/>
  <c r="H79" i="8" s="1"/>
  <c r="W38" i="1"/>
  <c r="W44" i="1" s="1"/>
  <c r="W46" i="1" s="1"/>
  <c r="W39" i="1"/>
  <c r="W40" i="1" s="1"/>
  <c r="H65" i="8"/>
  <c r="H66" i="8" s="1"/>
  <c r="H67" i="8" s="1"/>
  <c r="I60" i="8"/>
  <c r="C50" i="1" l="1"/>
  <c r="H18" i="1"/>
  <c r="W47" i="1"/>
  <c r="C55" i="2"/>
  <c r="C59" i="2"/>
  <c r="C58" i="2"/>
  <c r="W50" i="2"/>
  <c r="V51" i="2" s="1"/>
  <c r="I45" i="7"/>
  <c r="H63" i="7"/>
  <c r="H64" i="7" s="1"/>
  <c r="H65" i="7" s="1"/>
  <c r="I47" i="8"/>
  <c r="W42" i="2"/>
  <c r="W43" i="2" s="1"/>
  <c r="W55" i="3"/>
  <c r="C58" i="3" s="1"/>
  <c r="C64" i="3"/>
  <c r="H80" i="7"/>
  <c r="H81" i="8"/>
  <c r="W51" i="2" l="1"/>
  <c r="C54" i="2" s="1"/>
  <c r="C60" i="2"/>
  <c r="I76" i="8"/>
  <c r="I62" i="8"/>
  <c r="I48" i="8"/>
  <c r="I50" i="8" s="1"/>
  <c r="G82" i="8"/>
  <c r="G81" i="7"/>
  <c r="I74" i="7"/>
  <c r="I60" i="7"/>
  <c r="I46" i="7"/>
  <c r="I48" i="7" s="1"/>
  <c r="I75" i="8" l="1"/>
  <c r="I78" i="8" s="1"/>
  <c r="I80" i="8" s="1"/>
  <c r="I63" i="8"/>
  <c r="I73" i="7"/>
  <c r="I76" i="7" s="1"/>
  <c r="I79" i="7" s="1"/>
  <c r="I61" i="7"/>
  <c r="I49" i="7"/>
  <c r="I57" i="7"/>
  <c r="I51" i="8"/>
  <c r="I59" i="8"/>
  <c r="I62" i="7" l="1"/>
  <c r="I77" i="7" s="1"/>
  <c r="I63" i="7"/>
  <c r="I64" i="7" s="1"/>
  <c r="I65" i="7" s="1"/>
  <c r="J58" i="7"/>
  <c r="I65" i="8"/>
  <c r="J60" i="8"/>
  <c r="I66" i="8"/>
  <c r="I67" i="8" s="1"/>
  <c r="I64" i="8"/>
  <c r="I79" i="8" s="1"/>
  <c r="I80" i="7"/>
  <c r="I81" i="8"/>
  <c r="J47" i="8" l="1"/>
  <c r="H81" i="7"/>
  <c r="H82" i="8"/>
  <c r="J45" i="7"/>
  <c r="J74" i="7" l="1"/>
  <c r="J60" i="7"/>
  <c r="J46" i="7"/>
  <c r="J48" i="7" s="1"/>
  <c r="J76" i="8"/>
  <c r="J62" i="8"/>
  <c r="J48" i="8"/>
  <c r="J50" i="8" s="1"/>
  <c r="J51" i="8" l="1"/>
  <c r="J59" i="8"/>
  <c r="J75" i="8"/>
  <c r="J78" i="8" s="1"/>
  <c r="J80" i="8" s="1"/>
  <c r="J63" i="8"/>
  <c r="J49" i="7"/>
  <c r="J57" i="7"/>
  <c r="J73" i="7"/>
  <c r="J76" i="7" s="1"/>
  <c r="J79" i="7" s="1"/>
  <c r="J61" i="7"/>
  <c r="J80" i="7" l="1"/>
  <c r="K58" i="7"/>
  <c r="J65" i="8"/>
  <c r="K60" i="8"/>
  <c r="J66" i="8"/>
  <c r="J67" i="8" s="1"/>
  <c r="J64" i="8"/>
  <c r="J79" i="8" s="1"/>
  <c r="J62" i="7"/>
  <c r="J77" i="7" s="1"/>
  <c r="J81" i="8"/>
  <c r="J63" i="7" l="1"/>
  <c r="J64" i="7" s="1"/>
  <c r="J65" i="7" s="1"/>
  <c r="K45" i="7"/>
  <c r="I81" i="7"/>
  <c r="I82" i="8"/>
  <c r="K47" i="8"/>
  <c r="K74" i="7" l="1"/>
  <c r="K60" i="7"/>
  <c r="K46" i="7"/>
  <c r="K48" i="7" s="1"/>
  <c r="K76" i="8"/>
  <c r="K62" i="8"/>
  <c r="K48" i="8"/>
  <c r="K50" i="8" s="1"/>
  <c r="K51" i="8" l="1"/>
  <c r="K59" i="8"/>
  <c r="K49" i="7"/>
  <c r="K57" i="7"/>
  <c r="K75" i="8"/>
  <c r="K78" i="8" s="1"/>
  <c r="K80" i="8" s="1"/>
  <c r="K81" i="8" s="1"/>
  <c r="K63" i="8"/>
  <c r="K73" i="7"/>
  <c r="K76" i="7" s="1"/>
  <c r="K79" i="7" s="1"/>
  <c r="K61" i="7"/>
  <c r="K80" i="7" l="1"/>
  <c r="L58" i="7"/>
  <c r="L60" i="8"/>
  <c r="K62" i="7"/>
  <c r="K77" i="7" s="1"/>
  <c r="J82" i="8"/>
  <c r="K64" i="8"/>
  <c r="K79" i="8" s="1"/>
  <c r="K65" i="8" l="1"/>
  <c r="K66" i="8" s="1"/>
  <c r="K67" i="8" s="1"/>
  <c r="L47" i="8"/>
  <c r="L45" i="7"/>
  <c r="K63" i="7"/>
  <c r="K64" i="7" s="1"/>
  <c r="K65" i="7" s="1"/>
  <c r="J81" i="7"/>
  <c r="L76" i="8" l="1"/>
  <c r="L62" i="8"/>
  <c r="L48" i="8"/>
  <c r="L50" i="8" s="1"/>
  <c r="L74" i="7"/>
  <c r="L60" i="7"/>
  <c r="L46" i="7"/>
  <c r="L48" i="7" s="1"/>
  <c r="L49" i="7" l="1"/>
  <c r="L57" i="7"/>
  <c r="L51" i="8"/>
  <c r="L59" i="8"/>
  <c r="L73" i="7"/>
  <c r="L76" i="7" s="1"/>
  <c r="L79" i="7" s="1"/>
  <c r="L80" i="7" s="1"/>
  <c r="L61" i="7"/>
  <c r="L75" i="8"/>
  <c r="L78" i="8" s="1"/>
  <c r="L80" i="8" s="1"/>
  <c r="L81" i="8" s="1"/>
  <c r="L63" i="8"/>
  <c r="K82" i="8" l="1"/>
  <c r="M60" i="8"/>
  <c r="L65" i="8"/>
  <c r="M58" i="7"/>
  <c r="L66" i="8"/>
  <c r="L67" i="8" s="1"/>
  <c r="L64" i="8"/>
  <c r="L79" i="8" s="1"/>
  <c r="K81" i="7"/>
  <c r="L62" i="7"/>
  <c r="L77" i="7" s="1"/>
  <c r="M45" i="7" l="1"/>
  <c r="L63" i="7"/>
  <c r="L64" i="7" s="1"/>
  <c r="L65" i="7" s="1"/>
  <c r="M47" i="8"/>
  <c r="M76" i="8" l="1"/>
  <c r="M62" i="8"/>
  <c r="M48" i="8"/>
  <c r="M50" i="8" s="1"/>
  <c r="M74" i="7"/>
  <c r="M60" i="7"/>
  <c r="M46" i="7"/>
  <c r="M48" i="7" s="1"/>
  <c r="M51" i="8" l="1"/>
  <c r="M59" i="8"/>
  <c r="M49" i="7"/>
  <c r="M57" i="7"/>
  <c r="M73" i="7"/>
  <c r="M76" i="7" s="1"/>
  <c r="M79" i="7" s="1"/>
  <c r="M80" i="7" s="1"/>
  <c r="M61" i="7"/>
  <c r="M75" i="8"/>
  <c r="M78" i="8" s="1"/>
  <c r="M80" i="8" s="1"/>
  <c r="M81" i="8" s="1"/>
  <c r="M63" i="8"/>
  <c r="L81" i="7" l="1"/>
  <c r="M65" i="8"/>
  <c r="N60" i="8"/>
  <c r="N58" i="7"/>
  <c r="M66" i="8"/>
  <c r="M67" i="8" s="1"/>
  <c r="M64" i="8"/>
  <c r="M79" i="8" s="1"/>
  <c r="L82" i="8"/>
  <c r="M62" i="7"/>
  <c r="M77" i="7" s="1"/>
  <c r="N45" i="7" l="1"/>
  <c r="M63" i="7"/>
  <c r="M64" i="7" s="1"/>
  <c r="M65" i="7" s="1"/>
  <c r="N47" i="8"/>
  <c r="N76" i="8" l="1"/>
  <c r="N62" i="8"/>
  <c r="N48" i="8"/>
  <c r="N50" i="8" s="1"/>
  <c r="N74" i="7"/>
  <c r="N60" i="7"/>
  <c r="N46" i="7"/>
  <c r="N48" i="7" s="1"/>
  <c r="N51" i="8" l="1"/>
  <c r="N59" i="8"/>
  <c r="N49" i="7"/>
  <c r="N57" i="7"/>
  <c r="N73" i="7"/>
  <c r="N76" i="7" s="1"/>
  <c r="N79" i="7" s="1"/>
  <c r="N80" i="7" s="1"/>
  <c r="N61" i="7"/>
  <c r="N75" i="8"/>
  <c r="N78" i="8" s="1"/>
  <c r="N80" i="8" s="1"/>
  <c r="N81" i="8" s="1"/>
  <c r="N63" i="8"/>
  <c r="O60" i="8" l="1"/>
  <c r="M82" i="8"/>
  <c r="O58" i="7"/>
  <c r="M81" i="7"/>
  <c r="N62" i="7"/>
  <c r="N77" i="7" s="1"/>
  <c r="N64" i="8"/>
  <c r="N79" i="8" s="1"/>
  <c r="O45" i="7" l="1"/>
  <c r="N63" i="7"/>
  <c r="N64" i="7" s="1"/>
  <c r="N65" i="7" s="1"/>
  <c r="O47" i="8"/>
  <c r="N65" i="8"/>
  <c r="N66" i="8" s="1"/>
  <c r="N67" i="8" s="1"/>
  <c r="O76" i="8" l="1"/>
  <c r="O62" i="8"/>
  <c r="O48" i="8"/>
  <c r="O50" i="8" s="1"/>
  <c r="O74" i="7"/>
  <c r="O60" i="7"/>
  <c r="O46" i="7"/>
  <c r="O48" i="7" s="1"/>
  <c r="O49" i="7" l="1"/>
  <c r="O57" i="7"/>
  <c r="O51" i="8"/>
  <c r="O59" i="8"/>
  <c r="O73" i="7"/>
  <c r="O76" i="7" s="1"/>
  <c r="O61" i="7"/>
  <c r="O75" i="8"/>
  <c r="O78" i="8" s="1"/>
  <c r="O63" i="8"/>
  <c r="O80" i="8" l="1"/>
  <c r="C90" i="8"/>
  <c r="P58" i="7"/>
  <c r="P61" i="7" s="1"/>
  <c r="P59" i="8"/>
  <c r="O64" i="8"/>
  <c r="O79" i="8" s="1"/>
  <c r="P60" i="8"/>
  <c r="P63" i="8" s="1"/>
  <c r="O79" i="7"/>
  <c r="C89" i="7"/>
  <c r="P57" i="7"/>
  <c r="O62" i="7"/>
  <c r="O77" i="7" s="1"/>
  <c r="Q59" i="8" l="1"/>
  <c r="P64" i="8"/>
  <c r="P79" i="8" s="1"/>
  <c r="O63" i="7"/>
  <c r="O64" i="7" s="1"/>
  <c r="O65" i="7" s="1"/>
  <c r="O65" i="8"/>
  <c r="O66" i="8" s="1"/>
  <c r="O67" i="8" s="1"/>
  <c r="Q57" i="7"/>
  <c r="P62" i="7"/>
  <c r="P77" i="7" s="1"/>
  <c r="Q58" i="7"/>
  <c r="Q61" i="7" s="1"/>
  <c r="C90" i="7"/>
  <c r="C86" i="7"/>
  <c r="O80" i="7"/>
  <c r="P65" i="8"/>
  <c r="P66" i="8" s="1"/>
  <c r="P67" i="8" s="1"/>
  <c r="Q60" i="8"/>
  <c r="Q63" i="8" s="1"/>
  <c r="C91" i="8"/>
  <c r="C87" i="8"/>
  <c r="O81" i="8"/>
  <c r="P80" i="7" l="1"/>
  <c r="O81" i="7"/>
  <c r="N81" i="7"/>
  <c r="R57" i="7"/>
  <c r="Q62" i="7"/>
  <c r="Q77" i="7" s="1"/>
  <c r="R60" i="8"/>
  <c r="R63" i="8" s="1"/>
  <c r="P81" i="8"/>
  <c r="O82" i="8"/>
  <c r="N82" i="8"/>
  <c r="R58" i="7"/>
  <c r="R61" i="7" s="1"/>
  <c r="R59" i="8"/>
  <c r="Q64" i="8"/>
  <c r="Q79" i="8" s="1"/>
  <c r="P63" i="7"/>
  <c r="P64" i="7" s="1"/>
  <c r="P65" i="7" s="1"/>
  <c r="Q65" i="8" l="1"/>
  <c r="Q66" i="8" s="1"/>
  <c r="Q67" i="8" s="1"/>
  <c r="S60" i="8"/>
  <c r="S63" i="8" s="1"/>
  <c r="S58" i="7"/>
  <c r="S61" i="7" s="1"/>
  <c r="S59" i="8"/>
  <c r="R64" i="8"/>
  <c r="R79" i="8" s="1"/>
  <c r="Q63" i="7"/>
  <c r="Q64" i="7" s="1"/>
  <c r="Q65" i="7" s="1"/>
  <c r="S57" i="7"/>
  <c r="R62" i="7"/>
  <c r="R77" i="7" s="1"/>
  <c r="Q81" i="8"/>
  <c r="Q80" i="7"/>
  <c r="P81" i="7"/>
  <c r="R81" i="8" l="1"/>
  <c r="Q82" i="8"/>
  <c r="T60" i="8"/>
  <c r="T63" i="8" s="1"/>
  <c r="R80" i="7"/>
  <c r="Q81" i="7"/>
  <c r="T58" i="7"/>
  <c r="T61" i="7" s="1"/>
  <c r="S63" i="7"/>
  <c r="S64" i="7" s="1"/>
  <c r="S65" i="7" s="1"/>
  <c r="R63" i="7"/>
  <c r="R64" i="7" s="1"/>
  <c r="R65" i="7" s="1"/>
  <c r="T57" i="7"/>
  <c r="S62" i="7"/>
  <c r="S77" i="7" s="1"/>
  <c r="R65" i="8"/>
  <c r="R66" i="8" s="1"/>
  <c r="R67" i="8" s="1"/>
  <c r="T59" i="8"/>
  <c r="S64" i="8"/>
  <c r="S79" i="8" s="1"/>
  <c r="P82" i="8"/>
  <c r="U59" i="8" l="1"/>
  <c r="T64" i="8"/>
  <c r="T79" i="8" s="1"/>
  <c r="T65" i="8"/>
  <c r="T66" i="8" s="1"/>
  <c r="T67" i="8" s="1"/>
  <c r="U60" i="8"/>
  <c r="U63" i="8" s="1"/>
  <c r="S80" i="7"/>
  <c r="R81" i="7"/>
  <c r="T64" i="7"/>
  <c r="T65" i="7" s="1"/>
  <c r="U57" i="7"/>
  <c r="T62" i="7"/>
  <c r="T77" i="7" s="1"/>
  <c r="S65" i="8"/>
  <c r="S66" i="8" s="1"/>
  <c r="S67" i="8" s="1"/>
  <c r="U58" i="7"/>
  <c r="U61" i="7" s="1"/>
  <c r="T63" i="7"/>
  <c r="S81" i="8"/>
  <c r="R82" i="8"/>
  <c r="V60" i="8" l="1"/>
  <c r="V63" i="8" s="1"/>
  <c r="T80" i="7"/>
  <c r="S81" i="7" s="1"/>
  <c r="V59" i="8"/>
  <c r="U64" i="8"/>
  <c r="U79" i="8" s="1"/>
  <c r="S82" i="8"/>
  <c r="T81" i="8"/>
  <c r="V58" i="7"/>
  <c r="V61" i="7" s="1"/>
  <c r="V57" i="7"/>
  <c r="U62" i="7"/>
  <c r="U77" i="7" s="1"/>
  <c r="W57" i="7" l="1"/>
  <c r="V62" i="7"/>
  <c r="V77" i="7" s="1"/>
  <c r="U63" i="7"/>
  <c r="U64" i="7" s="1"/>
  <c r="U65" i="7" s="1"/>
  <c r="V63" i="7"/>
  <c r="V64" i="7" s="1"/>
  <c r="V65" i="7" s="1"/>
  <c r="W58" i="7"/>
  <c r="W61" i="7" s="1"/>
  <c r="V65" i="8"/>
  <c r="V66" i="8" s="1"/>
  <c r="V67" i="8" s="1"/>
  <c r="W60" i="8"/>
  <c r="W63" i="8" s="1"/>
  <c r="W59" i="8"/>
  <c r="V64" i="8"/>
  <c r="V79" i="8" s="1"/>
  <c r="U80" i="7"/>
  <c r="U81" i="8"/>
  <c r="T82" i="8"/>
  <c r="U65" i="8"/>
  <c r="U66" i="8" s="1"/>
  <c r="U67" i="8" s="1"/>
  <c r="V80" i="7" l="1"/>
  <c r="T81" i="7"/>
  <c r="W64" i="8"/>
  <c r="W79" i="8" s="1"/>
  <c r="W65" i="8"/>
  <c r="W66" i="8" s="1"/>
  <c r="W67" i="8" s="1"/>
  <c r="U82" i="8"/>
  <c r="V81" i="8"/>
  <c r="W62" i="7"/>
  <c r="W77" i="7" s="1"/>
  <c r="W63" i="7" l="1"/>
  <c r="W64" i="7" s="1"/>
  <c r="W65" i="7" s="1"/>
  <c r="W80" i="7"/>
  <c r="W81" i="8"/>
  <c r="U81" i="7"/>
  <c r="C92" i="8" l="1"/>
  <c r="W82" i="8"/>
  <c r="C91" i="7"/>
  <c r="W81" i="7"/>
  <c r="C84" i="7" s="1"/>
  <c r="V81" i="7"/>
  <c r="V82" i="8"/>
  <c r="C85" i="8" l="1"/>
</calcChain>
</file>

<file path=xl/sharedStrings.xml><?xml version="1.0" encoding="utf-8"?>
<sst xmlns="http://schemas.openxmlformats.org/spreadsheetml/2006/main" count="563" uniqueCount="140">
  <si>
    <t>Input Data</t>
  </si>
  <si>
    <t>Parametri tecnici</t>
  </si>
  <si>
    <t>% autoconsumo virtuale</t>
  </si>
  <si>
    <t>Parametri economici</t>
  </si>
  <si>
    <t>UdM</t>
  </si>
  <si>
    <t>kWp</t>
  </si>
  <si>
    <t>h/anno</t>
  </si>
  <si>
    <t>%</t>
  </si>
  <si>
    <t>autoconsumo virtuale</t>
  </si>
  <si>
    <t>h eq funzionamento</t>
  </si>
  <si>
    <t>Potenza installata CER</t>
  </si>
  <si>
    <t>#</t>
  </si>
  <si>
    <t>€/kWh</t>
  </si>
  <si>
    <t>Prezzo zonale EE, €/KWh</t>
  </si>
  <si>
    <t>Prezzo EE cliente finale</t>
  </si>
  <si>
    <t>Incentivo EE autoconsumata</t>
  </si>
  <si>
    <t xml:space="preserve">Costo investimento </t>
  </si>
  <si>
    <t>€/kWp</t>
  </si>
  <si>
    <t>Costo O&amp;M</t>
  </si>
  <si>
    <t>Restituzione componenti tariffarie</t>
  </si>
  <si>
    <t>%/Capex/anno</t>
  </si>
  <si>
    <t>Membri</t>
  </si>
  <si>
    <t>Residenziali</t>
  </si>
  <si>
    <t>Consumo annuo, kWh/anno</t>
  </si>
  <si>
    <t>Totale consumo, kWh/anno</t>
  </si>
  <si>
    <t>EE prodotta</t>
  </si>
  <si>
    <t>Autoconsumo fisico</t>
  </si>
  <si>
    <t>EE condivisa CER</t>
  </si>
  <si>
    <t>P&amp;L</t>
  </si>
  <si>
    <t>Ricavi</t>
  </si>
  <si>
    <t>Ricavi vendita EE</t>
  </si>
  <si>
    <t>Ricavi autoconsumo fisico</t>
  </si>
  <si>
    <t>Incentivo EE condivisa</t>
  </si>
  <si>
    <t>Costi</t>
  </si>
  <si>
    <t>Autoconsumo virtuale annup</t>
  </si>
  <si>
    <t>autoconsumo fisico target</t>
  </si>
  <si>
    <t>EBITDA</t>
  </si>
  <si>
    <t>Ammortamenti</t>
  </si>
  <si>
    <t>VU</t>
  </si>
  <si>
    <t>anni</t>
  </si>
  <si>
    <t>EBIT</t>
  </si>
  <si>
    <t>Taxes</t>
  </si>
  <si>
    <t>Tax rate</t>
  </si>
  <si>
    <t>Utile</t>
  </si>
  <si>
    <t>FCF</t>
  </si>
  <si>
    <t>Capex</t>
  </si>
  <si>
    <t>Cash Flow</t>
  </si>
  <si>
    <t>PBT</t>
  </si>
  <si>
    <t>IRR</t>
  </si>
  <si>
    <t>Degrado annuo</t>
  </si>
  <si>
    <t>cf totale</t>
  </si>
  <si>
    <t>INVESTIMENTO PER UTENTE</t>
  </si>
  <si>
    <t>€</t>
  </si>
  <si>
    <t>CF ANNUO / UTENTE</t>
  </si>
  <si>
    <t>€/ANNO</t>
  </si>
  <si>
    <t>VISTA CER</t>
  </si>
  <si>
    <t>Canone Annuo</t>
  </si>
  <si>
    <t>Canone annuo CER</t>
  </si>
  <si>
    <t>€/anno</t>
  </si>
  <si>
    <t>€/anno/kWp</t>
  </si>
  <si>
    <t>Anni canone</t>
  </si>
  <si>
    <t>Contributo PNRR</t>
  </si>
  <si>
    <t>Riduzione incentivo contributo PNRR</t>
  </si>
  <si>
    <t>Costo canone impianto</t>
  </si>
  <si>
    <t>O&amp;M + gestione CER</t>
  </si>
  <si>
    <t>Canone O&amp;M + gestione</t>
  </si>
  <si>
    <t>Indicatori fisici</t>
  </si>
  <si>
    <t>Conto economico, €</t>
  </si>
  <si>
    <t>Rendiconto finanziario, €</t>
  </si>
  <si>
    <t>Cal-24</t>
  </si>
  <si>
    <t>Cal-25</t>
  </si>
  <si>
    <t>-</t>
  </si>
  <si>
    <t>Cal-26</t>
  </si>
  <si>
    <t>Cal-27</t>
  </si>
  <si>
    <t>Cal-28</t>
  </si>
  <si>
    <t>Cal-29</t>
  </si>
  <si>
    <t>Cal-30</t>
  </si>
  <si>
    <t>Cal-31</t>
  </si>
  <si>
    <t>Cal-32</t>
  </si>
  <si>
    <t>Cal-33</t>
  </si>
  <si>
    <t>Future</t>
  </si>
  <si>
    <t>Last Price</t>
  </si>
  <si>
    <t>Last Volume</t>
  </si>
  <si>
    <t>Settlement Price</t>
  </si>
  <si>
    <t>Volume Exchange</t>
  </si>
  <si>
    <t>Volume Trade Registration</t>
  </si>
  <si>
    <t>Open Interest</t>
  </si>
  <si>
    <t>Jul/23</t>
  </si>
  <si>
    <t>Aug/23</t>
  </si>
  <si>
    <t>Sep/23</t>
  </si>
  <si>
    <t>Oct/23</t>
  </si>
  <si>
    <t>Dec/23</t>
  </si>
  <si>
    <t>PERIOD</t>
  </si>
  <si>
    <t>Jun/23</t>
  </si>
  <si>
    <t>AVG 23</t>
  </si>
  <si>
    <t>TOTAL AVG</t>
  </si>
  <si>
    <t>Quota debito</t>
  </si>
  <si>
    <t>Rata annuale</t>
  </si>
  <si>
    <t>Tasso di interesse</t>
  </si>
  <si>
    <t>Anni</t>
  </si>
  <si>
    <t>Stato patrimoniale</t>
  </si>
  <si>
    <t>Immobilizzazioni BoP</t>
  </si>
  <si>
    <t>Immobilizzazione EoP</t>
  </si>
  <si>
    <t>Increase</t>
  </si>
  <si>
    <t>Decrease</t>
  </si>
  <si>
    <t>Capitale investito netto</t>
  </si>
  <si>
    <t>Patrimonio netto</t>
  </si>
  <si>
    <t>Debito LT BoP</t>
  </si>
  <si>
    <t>Debito LT EoP</t>
  </si>
  <si>
    <t>Oneri finanziari</t>
  </si>
  <si>
    <t>Cassa / Debito BT (se + è debito, se - è cassa)</t>
  </si>
  <si>
    <t>PFN</t>
  </si>
  <si>
    <t>Totale coperture</t>
  </si>
  <si>
    <t>EBT</t>
  </si>
  <si>
    <t>Check</t>
  </si>
  <si>
    <t>FCF OPERATIVO</t>
  </si>
  <si>
    <t>Erogazione finanziamento</t>
  </si>
  <si>
    <t>Ripagamento quota capitale</t>
  </si>
  <si>
    <t>Equity Injection</t>
  </si>
  <si>
    <t>FCFE</t>
  </si>
  <si>
    <t>Cash Flow Net Equity Injection</t>
  </si>
  <si>
    <t>Cumulated Cash Flow</t>
  </si>
  <si>
    <t>IRR LEVERED</t>
  </si>
  <si>
    <t>Riduzione incentivo per contributo PNRR</t>
  </si>
  <si>
    <t>Utile %</t>
  </si>
  <si>
    <t>Cash Flow cumulato</t>
  </si>
  <si>
    <t>Free Cash Flow</t>
  </si>
  <si>
    <t>Indicatori di ritorno della CER</t>
  </si>
  <si>
    <t>INCASSO COMPLESSIVO / UTENTE</t>
  </si>
  <si>
    <t>INCASSO NETTO / UTENTE</t>
  </si>
  <si>
    <t>INCASSO NETTO ANNUO / UTENTE</t>
  </si>
  <si>
    <t>membri</t>
  </si>
  <si>
    <t>https://www.eex.com/en/market-data/power/futures#%7B%22snippetpicker%22%3A%2224%22%7D</t>
  </si>
  <si>
    <t>Modello 1 (i) - impianto finanziato interamente dai membri</t>
  </si>
  <si>
    <t>Modello 1 (ii) - impianto finanziato tramite prestito bancario</t>
  </si>
  <si>
    <t>ESEMPLIFICATIVO</t>
  </si>
  <si>
    <t>VISTA TERZO</t>
  </si>
  <si>
    <t>Modello 2 - impianto finanziato da un terzo (Esco o Utility)</t>
  </si>
  <si>
    <t>Modello 3 - Impianto realizzato tramite ricorso ai fondi del PNRR nel caso di un comune con meno di 5.000 abitanti</t>
  </si>
  <si>
    <t>Esemplificativo Business Plan per Modello 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</si>
</sst>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i/>
      <sz val="9"/>
      <color theme="1"/>
      <name val="Arial"/>
      <family val="2"/>
    </font>
    <font>
      <i/>
      <sz val="9"/>
      <color theme="4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i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0" xfId="0" applyAlignment="1">
      <alignment horizontal="left" indent="1"/>
    </xf>
    <xf numFmtId="9" fontId="0" fillId="0" borderId="0" xfId="0" applyNumberFormat="1"/>
    <xf numFmtId="0" fontId="2" fillId="0" borderId="0" xfId="0" applyFont="1" applyAlignment="1">
      <alignment horizontal="left"/>
    </xf>
    <xf numFmtId="3" fontId="0" fillId="2" borderId="0" xfId="0" applyNumberFormat="1" applyFill="1"/>
    <xf numFmtId="9" fontId="0" fillId="2" borderId="0" xfId="0" applyNumberForma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3" fontId="2" fillId="2" borderId="0" xfId="0" applyNumberFormat="1" applyFont="1" applyFill="1"/>
    <xf numFmtId="9" fontId="0" fillId="0" borderId="0" xfId="1" applyFont="1"/>
    <xf numFmtId="0" fontId="0" fillId="2" borderId="0" xfId="0" applyFill="1" applyAlignment="1">
      <alignment horizontal="center"/>
    </xf>
    <xf numFmtId="3" fontId="0" fillId="0" borderId="0" xfId="1" applyNumberFormat="1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1" fontId="0" fillId="2" borderId="0" xfId="0" applyNumberFormat="1" applyFill="1"/>
    <xf numFmtId="9" fontId="2" fillId="4" borderId="0" xfId="0" applyNumberFormat="1" applyFont="1" applyFill="1" applyAlignment="1">
      <alignment horizontal="center"/>
    </xf>
    <xf numFmtId="164" fontId="0" fillId="2" borderId="0" xfId="1" applyNumberFormat="1" applyFont="1" applyFill="1"/>
    <xf numFmtId="165" fontId="2" fillId="4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3" fontId="5" fillId="2" borderId="0" xfId="0" applyNumberFormat="1" applyFont="1" applyFill="1"/>
    <xf numFmtId="0" fontId="5" fillId="2" borderId="0" xfId="0" applyFont="1" applyFill="1" applyAlignment="1">
      <alignment horizontal="center"/>
    </xf>
    <xf numFmtId="3" fontId="5" fillId="0" borderId="0" xfId="0" applyNumberFormat="1" applyFont="1"/>
    <xf numFmtId="3" fontId="5" fillId="0" borderId="0" xfId="1" applyNumberFormat="1" applyFont="1"/>
    <xf numFmtId="9" fontId="5" fillId="2" borderId="0" xfId="0" applyNumberFormat="1" applyFont="1" applyFill="1"/>
    <xf numFmtId="9" fontId="5" fillId="0" borderId="0" xfId="1" applyFont="1"/>
    <xf numFmtId="9" fontId="5" fillId="0" borderId="0" xfId="0" applyNumberFormat="1" applyFont="1"/>
    <xf numFmtId="1" fontId="5" fillId="2" borderId="0" xfId="0" applyNumberFormat="1" applyFont="1" applyFill="1"/>
    <xf numFmtId="164" fontId="5" fillId="2" borderId="0" xfId="1" applyNumberFormat="1" applyFont="1" applyFill="1"/>
    <xf numFmtId="0" fontId="5" fillId="2" borderId="0" xfId="0" applyFont="1" applyFill="1"/>
    <xf numFmtId="3" fontId="5" fillId="0" borderId="0" xfId="0" applyNumberFormat="1" applyFont="1" applyAlignment="1">
      <alignment horizontal="center"/>
    </xf>
    <xf numFmtId="164" fontId="5" fillId="2" borderId="0" xfId="0" applyNumberFormat="1" applyFont="1" applyFill="1"/>
    <xf numFmtId="1" fontId="5" fillId="0" borderId="0" xfId="0" applyNumberFormat="1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3" fontId="4" fillId="2" borderId="0" xfId="0" applyNumberFormat="1" applyFont="1" applyFill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/>
    <xf numFmtId="165" fontId="4" fillId="4" borderId="0" xfId="0" applyNumberFormat="1" applyFont="1" applyFill="1" applyAlignment="1">
      <alignment horizontal="center"/>
    </xf>
    <xf numFmtId="9" fontId="4" fillId="4" borderId="0" xfId="0" applyNumberFormat="1" applyFont="1" applyFill="1" applyAlignment="1">
      <alignment horizontal="center"/>
    </xf>
    <xf numFmtId="0" fontId="6" fillId="6" borderId="0" xfId="0" applyFont="1" applyFill="1"/>
    <xf numFmtId="0" fontId="6" fillId="6" borderId="0" xfId="0" applyFont="1" applyFill="1" applyAlignment="1">
      <alignment horizont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9" fontId="7" fillId="0" borderId="0" xfId="1" applyFont="1"/>
    <xf numFmtId="164" fontId="4" fillId="4" borderId="0" xfId="0" applyNumberFormat="1" applyFont="1" applyFill="1" applyAlignment="1">
      <alignment horizontal="center"/>
    </xf>
    <xf numFmtId="9" fontId="5" fillId="2" borderId="0" xfId="1" applyFont="1" applyFill="1"/>
    <xf numFmtId="0" fontId="5" fillId="0" borderId="0" xfId="0" applyFont="1" applyAlignment="1">
      <alignment horizontal="left" indent="2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/>
    <xf numFmtId="0" fontId="5" fillId="0" borderId="0" xfId="0" applyFont="1" applyBorder="1" applyAlignment="1">
      <alignment horizontal="left" indent="1"/>
    </xf>
    <xf numFmtId="3" fontId="5" fillId="0" borderId="0" xfId="0" applyNumberFormat="1" applyFont="1" applyBorder="1"/>
    <xf numFmtId="0" fontId="7" fillId="0" borderId="0" xfId="0" applyFont="1"/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/>
    <xf numFmtId="3" fontId="7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9" fontId="8" fillId="0" borderId="0" xfId="1" applyFont="1"/>
    <xf numFmtId="0" fontId="9" fillId="7" borderId="0" xfId="0" applyFont="1" applyFill="1" applyAlignment="1">
      <alignment horizontal="left" vertical="center" wrapText="1"/>
    </xf>
    <xf numFmtId="0" fontId="9" fillId="7" borderId="0" xfId="0" applyFont="1" applyFill="1" applyAlignment="1">
      <alignment horizontal="right" vertical="center" wrapText="1"/>
    </xf>
    <xf numFmtId="14" fontId="5" fillId="0" borderId="0" xfId="0" applyNumberFormat="1" applyFont="1"/>
    <xf numFmtId="0" fontId="10" fillId="7" borderId="0" xfId="0" applyFont="1" applyFill="1" applyAlignment="1">
      <alignment horizontal="left" vertical="center" wrapText="1"/>
    </xf>
    <xf numFmtId="0" fontId="10" fillId="7" borderId="0" xfId="0" applyFont="1" applyFill="1" applyAlignment="1">
      <alignment horizontal="right" vertical="center" wrapText="1"/>
    </xf>
    <xf numFmtId="3" fontId="10" fillId="7" borderId="0" xfId="0" applyNumberFormat="1" applyFont="1" applyFill="1" applyAlignment="1">
      <alignment horizontal="right" vertical="center" wrapText="1"/>
    </xf>
    <xf numFmtId="0" fontId="10" fillId="7" borderId="0" xfId="0" applyFont="1" applyFill="1" applyAlignment="1">
      <alignment vertical="top" wrapText="1"/>
    </xf>
    <xf numFmtId="17" fontId="10" fillId="7" borderId="0" xfId="0" applyNumberFormat="1" applyFont="1" applyFill="1" applyAlignment="1">
      <alignment horizontal="left" vertical="center" wrapText="1"/>
    </xf>
    <xf numFmtId="0" fontId="10" fillId="7" borderId="0" xfId="0" applyFont="1" applyFill="1" applyAlignment="1">
      <alignment horizontal="left" vertical="center" wrapText="1" indent="1"/>
    </xf>
    <xf numFmtId="0" fontId="5" fillId="7" borderId="0" xfId="0" applyFont="1" applyFill="1"/>
    <xf numFmtId="3" fontId="4" fillId="4" borderId="0" xfId="0" applyNumberFormat="1" applyFont="1" applyFill="1" applyAlignment="1">
      <alignment horizontal="center"/>
    </xf>
    <xf numFmtId="0" fontId="11" fillId="0" borderId="0" xfId="0" applyFont="1"/>
    <xf numFmtId="0" fontId="5" fillId="2" borderId="0" xfId="0" applyFont="1" applyFill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/>
    <xf numFmtId="0" fontId="4" fillId="4" borderId="0" xfId="0" applyFont="1" applyFill="1"/>
    <xf numFmtId="0" fontId="9" fillId="0" borderId="0" xfId="0" applyFont="1" applyFill="1" applyAlignment="1">
      <alignment horizontal="right" vertical="center" wrapText="1"/>
    </xf>
    <xf numFmtId="0" fontId="5" fillId="0" borderId="0" xfId="0" applyFont="1" applyFill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338D"/>
      <rgbColor rgb="0000B8F5"/>
      <rgbColor rgb="001E49E2"/>
      <rgbColor rgb="0076D2FF"/>
      <rgbColor rgb="007213EA"/>
      <rgbColor rgb="00B497FF"/>
      <rgbColor rgb="00098E7E"/>
      <rgbColor rgb="0000C0A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B0D82"/>
      <rgbColor rgb="00FD349C"/>
      <rgbColor rgb="00FFA3DA"/>
      <rgbColor rgb="00666666"/>
      <rgbColor rgb="00510DBC"/>
      <rgbColor rgb="0063EBDA"/>
      <rgbColor rgb="00CC99FF"/>
      <rgbColor rgb="00FFCC99"/>
      <rgbColor rgb="003366FF"/>
      <rgbColor rgb="0033CCCC"/>
      <rgbColor rgb="0099CC00"/>
      <rgbColor rgb="00F5B36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6E9EE"/>
      <rgbColor rgb="00333399"/>
      <rgbColor rgb="00333333"/>
    </indexedColors>
    <mruColors>
      <color rgb="FF0033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spc="0" baseline="0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Flusso</a:t>
            </a:r>
            <a:r>
              <a:rPr lang="it-IT" baseline="0"/>
              <a:t> di cassa cumulato, €</a:t>
            </a:r>
            <a:endParaRPr lang="it-IT"/>
          </a:p>
        </c:rich>
      </c:tx>
      <c:layout>
        <c:manualLayout>
          <c:xMode val="edge"/>
          <c:yMode val="edge"/>
          <c:x val="2.2857142857142857E-2"/>
          <c:y val="3.67393800229621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1" i="0" u="none" strike="noStrike" kern="1200" spc="0" baseline="0">
              <a:solidFill>
                <a:srgbClr val="00338D"/>
              </a:solidFill>
              <a:latin typeface="Arial"/>
              <a:ea typeface="Arial"/>
              <a:cs typeface="Arial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4563104611923508"/>
          <c:y val="0.15369680971279279"/>
          <c:w val="0.78457975253093348"/>
          <c:h val="0.7268466872180586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338D"/>
            </a:solidFill>
            <a:ln w="3175">
              <a:solidFill>
                <a:srgbClr val="FFFFFF"/>
              </a:solidFill>
              <a:prstDash val="solid"/>
            </a:ln>
            <a:effectLst/>
          </c:spPr>
          <c:invertIfNegative val="0"/>
          <c:cat>
            <c:numRef>
              <c:f>'1.i Finanziamento membri'!$C$45:$W$45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'1.i Finanziamento membri'!$C$50:$W$50</c:f>
              <c:numCache>
                <c:formatCode>#,##0</c:formatCode>
                <c:ptCount val="21"/>
                <c:pt idx="0">
                  <c:v>-240000</c:v>
                </c:pt>
                <c:pt idx="1">
                  <c:v>-210101.7</c:v>
                </c:pt>
                <c:pt idx="2">
                  <c:v>-180333.7452</c:v>
                </c:pt>
                <c:pt idx="3">
                  <c:v>-150695.61421920001</c:v>
                </c:pt>
                <c:pt idx="4">
                  <c:v>-121186.78776232322</c:v>
                </c:pt>
                <c:pt idx="5">
                  <c:v>-91806.748611273928</c:v>
                </c:pt>
                <c:pt idx="6">
                  <c:v>-62554.981616828831</c:v>
                </c:pt>
                <c:pt idx="7">
                  <c:v>-33430.973690361512</c:v>
                </c:pt>
                <c:pt idx="8">
                  <c:v>-4434.2137956000624</c:v>
                </c:pt>
                <c:pt idx="9">
                  <c:v>24435.807059582337</c:v>
                </c:pt>
                <c:pt idx="10">
                  <c:v>53179.595831344006</c:v>
                </c:pt>
                <c:pt idx="11">
                  <c:v>81797.657448018639</c:v>
                </c:pt>
                <c:pt idx="12">
                  <c:v>110290.49481822657</c:v>
                </c:pt>
                <c:pt idx="13">
                  <c:v>138658.60883895366</c:v>
                </c:pt>
                <c:pt idx="14">
                  <c:v>166902.49840359786</c:v>
                </c:pt>
                <c:pt idx="15">
                  <c:v>195022.66040998348</c:v>
                </c:pt>
                <c:pt idx="16">
                  <c:v>223019.58976834355</c:v>
                </c:pt>
                <c:pt idx="17">
                  <c:v>250893.77940927018</c:v>
                </c:pt>
                <c:pt idx="18">
                  <c:v>278645.7202916331</c:v>
                </c:pt>
                <c:pt idx="19">
                  <c:v>306275.90141046658</c:v>
                </c:pt>
                <c:pt idx="20">
                  <c:v>333784.8098048247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D-4AAC-8A66-1C441812E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62139487"/>
        <c:axId val="162136159"/>
      </c:barChart>
      <c:catAx>
        <c:axId val="16213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2136159"/>
        <c:crosses val="autoZero"/>
        <c:auto val="1"/>
        <c:lblAlgn val="ctr"/>
        <c:lblOffset val="100"/>
        <c:noMultiLvlLbl val="0"/>
      </c:catAx>
      <c:valAx>
        <c:axId val="162136159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213948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 cap="flat" cmpd="sng" algn="ctr">
      <a:noFill/>
      <a:round/>
    </a:ln>
    <a:effectLst/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spc="0" baseline="0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Flussi</a:t>
            </a:r>
            <a:r>
              <a:rPr lang="it-IT" baseline="0"/>
              <a:t> energetici</a:t>
            </a:r>
            <a:r>
              <a:rPr lang="it-IT"/>
              <a:t>, kWh/anno</a:t>
            </a:r>
          </a:p>
        </c:rich>
      </c:tx>
      <c:layout>
        <c:manualLayout>
          <c:xMode val="edge"/>
          <c:yMode val="edge"/>
          <c:x val="2.2857142857142857E-2"/>
          <c:y val="3.6764705882352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1" i="0" u="none" strike="noStrike" kern="1200" spc="0" baseline="0">
              <a:solidFill>
                <a:srgbClr val="00338D"/>
              </a:solidFill>
              <a:latin typeface="Arial"/>
              <a:ea typeface="Arial"/>
              <a:cs typeface="Arial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944521934758155"/>
          <c:y val="0.15939770686558916"/>
          <c:w val="0.81219415073115864"/>
          <c:h val="0.64327853755122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'1.i Finanziamento membri'!$B$27</c:f>
              <c:strCache>
                <c:ptCount val="1"/>
                <c:pt idx="0">
                  <c:v>EE prodotta</c:v>
                </c:pt>
              </c:strCache>
            </c:strRef>
          </c:tx>
          <c:spPr>
            <a:solidFill>
              <a:srgbClr val="00338D"/>
            </a:solidFill>
            <a:ln w="3175">
              <a:solidFill>
                <a:srgbClr val="FFFFFF"/>
              </a:solidFill>
              <a:prstDash val="solid"/>
            </a:ln>
            <a:effectLst/>
          </c:spPr>
          <c:invertIfNegative val="0"/>
          <c:cat>
            <c:numRef>
              <c:f>'1.i Finanziamento membri'!$C$45:$W$45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'1.i Finanziamento membri'!$C$27:$W$27</c:f>
              <c:numCache>
                <c:formatCode>#,##0</c:formatCode>
                <c:ptCount val="21"/>
                <c:pt idx="1">
                  <c:v>240000</c:v>
                </c:pt>
                <c:pt idx="2">
                  <c:v>239040</c:v>
                </c:pt>
                <c:pt idx="3">
                  <c:v>238083.84</c:v>
                </c:pt>
                <c:pt idx="4">
                  <c:v>237131.50464</c:v>
                </c:pt>
                <c:pt idx="5">
                  <c:v>236182.97862144001</c:v>
                </c:pt>
                <c:pt idx="6">
                  <c:v>235238.24670695426</c:v>
                </c:pt>
                <c:pt idx="7">
                  <c:v>234297.29372012644</c:v>
                </c:pt>
                <c:pt idx="8">
                  <c:v>233360.10454524594</c:v>
                </c:pt>
                <c:pt idx="9">
                  <c:v>232426.66412706496</c:v>
                </c:pt>
                <c:pt idx="10">
                  <c:v>231496.95747055669</c:v>
                </c:pt>
                <c:pt idx="11">
                  <c:v>230570.96964067448</c:v>
                </c:pt>
                <c:pt idx="12">
                  <c:v>229648.68576211177</c:v>
                </c:pt>
                <c:pt idx="13">
                  <c:v>228730.09101906331</c:v>
                </c:pt>
                <c:pt idx="14">
                  <c:v>227815.17065498707</c:v>
                </c:pt>
                <c:pt idx="15">
                  <c:v>226903.90997236711</c:v>
                </c:pt>
                <c:pt idx="16">
                  <c:v>225996.29433247764</c:v>
                </c:pt>
                <c:pt idx="17">
                  <c:v>225092.30915514773</c:v>
                </c:pt>
                <c:pt idx="18">
                  <c:v>224191.93991852715</c:v>
                </c:pt>
                <c:pt idx="19">
                  <c:v>223295.17215885303</c:v>
                </c:pt>
                <c:pt idx="20">
                  <c:v>222401.99147021762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7-4398-A3D6-C27C192637FC}"/>
            </c:ext>
          </c:extLst>
        </c:ser>
        <c:ser>
          <c:idx val="1"/>
          <c:order val="1"/>
          <c:tx>
            <c:strRef>
              <c:f>'1.i Finanziamento membri'!$B$29</c:f>
              <c:strCache>
                <c:ptCount val="1"/>
                <c:pt idx="0">
                  <c:v>EE condivisa CER</c:v>
                </c:pt>
              </c:strCache>
            </c:strRef>
          </c:tx>
          <c:spPr>
            <a:solidFill>
              <a:srgbClr val="00B8F5"/>
            </a:solidFill>
            <a:ln w="3175">
              <a:solidFill>
                <a:srgbClr val="FFFFFF"/>
              </a:solidFill>
              <a:prstDash val="solid"/>
            </a:ln>
            <a:effectLst/>
          </c:spPr>
          <c:invertIfNegative val="0"/>
          <c:cat>
            <c:numRef>
              <c:f>'1.i Finanziamento membri'!$C$45:$W$45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'1.i Finanziamento membri'!$C$29:$W$29</c:f>
              <c:numCache>
                <c:formatCode>#,##0</c:formatCode>
                <c:ptCount val="21"/>
                <c:pt idx="1">
                  <c:v>180000</c:v>
                </c:pt>
                <c:pt idx="2">
                  <c:v>179280</c:v>
                </c:pt>
                <c:pt idx="3">
                  <c:v>178562.88</c:v>
                </c:pt>
                <c:pt idx="4">
                  <c:v>177848.62848000001</c:v>
                </c:pt>
                <c:pt idx="5">
                  <c:v>177137.23396608001</c:v>
                </c:pt>
                <c:pt idx="6">
                  <c:v>176428.68503021571</c:v>
                </c:pt>
                <c:pt idx="7">
                  <c:v>175722.97029009485</c:v>
                </c:pt>
                <c:pt idx="8">
                  <c:v>175020.07840893447</c:v>
                </c:pt>
                <c:pt idx="9">
                  <c:v>174319.99809529871</c:v>
                </c:pt>
                <c:pt idx="10">
                  <c:v>173622.71810291751</c:v>
                </c:pt>
                <c:pt idx="11">
                  <c:v>172928.22723050584</c:v>
                </c:pt>
                <c:pt idx="12">
                  <c:v>172236.51432158382</c:v>
                </c:pt>
                <c:pt idx="13">
                  <c:v>171547.5682642975</c:v>
                </c:pt>
                <c:pt idx="14">
                  <c:v>170861.3779912403</c:v>
                </c:pt>
                <c:pt idx="15">
                  <c:v>170177.93247927533</c:v>
                </c:pt>
                <c:pt idx="16">
                  <c:v>169497.22074935824</c:v>
                </c:pt>
                <c:pt idx="17">
                  <c:v>168819.23186636079</c:v>
                </c:pt>
                <c:pt idx="18">
                  <c:v>168143.95493889536</c:v>
                </c:pt>
                <c:pt idx="19">
                  <c:v>167471.37911913978</c:v>
                </c:pt>
                <c:pt idx="20">
                  <c:v>166801.49360266322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87-4398-A3D6-C27C19263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62139487"/>
        <c:axId val="162136159"/>
      </c:barChart>
      <c:catAx>
        <c:axId val="16213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2136159"/>
        <c:crosses val="autoZero"/>
        <c:auto val="1"/>
        <c:lblAlgn val="ctr"/>
        <c:lblOffset val="100"/>
        <c:noMultiLvlLbl val="0"/>
      </c:catAx>
      <c:valAx>
        <c:axId val="162136159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2139487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32800022497187858"/>
          <c:y val="0.88652392135193625"/>
          <c:w val="0.42165972573729721"/>
          <c:h val="8.483194600674916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spc="0" baseline="0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Flussi</a:t>
            </a:r>
            <a:r>
              <a:rPr lang="it-IT" baseline="0"/>
              <a:t> energetici</a:t>
            </a:r>
            <a:r>
              <a:rPr lang="it-IT"/>
              <a:t>, kWh/anno</a:t>
            </a:r>
          </a:p>
        </c:rich>
      </c:tx>
      <c:layout>
        <c:manualLayout>
          <c:xMode val="edge"/>
          <c:yMode val="edge"/>
          <c:x val="2.2857142857142857E-2"/>
          <c:y val="3.6764705882352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1" i="0" u="none" strike="noStrike" kern="1200" spc="0" baseline="0">
              <a:solidFill>
                <a:srgbClr val="00338D"/>
              </a:solidFill>
              <a:latin typeface="Arial"/>
              <a:ea typeface="Arial"/>
              <a:cs typeface="Arial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944521934758155"/>
          <c:y val="0.15939770686558916"/>
          <c:w val="0.81219415073115864"/>
          <c:h val="0.64327853755122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'1.ii Finanziamento membri+debt'!$B$33</c:f>
              <c:strCache>
                <c:ptCount val="1"/>
                <c:pt idx="0">
                  <c:v>EE condivisa CER</c:v>
                </c:pt>
              </c:strCache>
            </c:strRef>
          </c:tx>
          <c:spPr>
            <a:solidFill>
              <a:srgbClr val="00338D"/>
            </a:solidFill>
            <a:ln w="3175">
              <a:solidFill>
                <a:srgbClr val="FFFFFF"/>
              </a:solidFill>
              <a:prstDash val="solid"/>
            </a:ln>
            <a:effectLst/>
          </c:spPr>
          <c:invertIfNegative val="0"/>
          <c:cat>
            <c:numRef>
              <c:f>'1.ii Finanziamento membri+debt'!$C$67:$W$67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'1.ii Finanziamento membri+debt'!$C$31:$W$31</c:f>
              <c:numCache>
                <c:formatCode>#,##0</c:formatCode>
                <c:ptCount val="21"/>
                <c:pt idx="1">
                  <c:v>240000</c:v>
                </c:pt>
                <c:pt idx="2">
                  <c:v>239040</c:v>
                </c:pt>
                <c:pt idx="3">
                  <c:v>238083.84</c:v>
                </c:pt>
                <c:pt idx="4">
                  <c:v>237131.50464</c:v>
                </c:pt>
                <c:pt idx="5">
                  <c:v>236182.97862144001</c:v>
                </c:pt>
                <c:pt idx="6">
                  <c:v>235238.24670695426</c:v>
                </c:pt>
                <c:pt idx="7">
                  <c:v>234297.29372012644</c:v>
                </c:pt>
                <c:pt idx="8">
                  <c:v>233360.10454524594</c:v>
                </c:pt>
                <c:pt idx="9">
                  <c:v>232426.66412706496</c:v>
                </c:pt>
                <c:pt idx="10">
                  <c:v>231496.95747055669</c:v>
                </c:pt>
                <c:pt idx="11">
                  <c:v>230570.96964067448</c:v>
                </c:pt>
                <c:pt idx="12">
                  <c:v>229648.68576211177</c:v>
                </c:pt>
                <c:pt idx="13">
                  <c:v>228730.09101906331</c:v>
                </c:pt>
                <c:pt idx="14">
                  <c:v>227815.17065498707</c:v>
                </c:pt>
                <c:pt idx="15">
                  <c:v>226903.90997236711</c:v>
                </c:pt>
                <c:pt idx="16">
                  <c:v>225996.29433247764</c:v>
                </c:pt>
                <c:pt idx="17">
                  <c:v>225092.30915514773</c:v>
                </c:pt>
                <c:pt idx="18">
                  <c:v>224191.93991852715</c:v>
                </c:pt>
                <c:pt idx="19">
                  <c:v>223295.17215885303</c:v>
                </c:pt>
                <c:pt idx="20">
                  <c:v>222401.99147021762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C-4FC9-B3E3-284B9967AD50}"/>
            </c:ext>
          </c:extLst>
        </c:ser>
        <c:ser>
          <c:idx val="1"/>
          <c:order val="1"/>
          <c:tx>
            <c:strRef>
              <c:f>'1.ii Finanziamento membri+debt'!$B$31</c:f>
              <c:strCache>
                <c:ptCount val="1"/>
                <c:pt idx="0">
                  <c:v>EE prodotta</c:v>
                </c:pt>
              </c:strCache>
            </c:strRef>
          </c:tx>
          <c:spPr>
            <a:solidFill>
              <a:srgbClr val="00B8F5"/>
            </a:solidFill>
            <a:ln w="3175">
              <a:solidFill>
                <a:srgbClr val="FFFFFF"/>
              </a:solidFill>
              <a:prstDash val="solid"/>
            </a:ln>
            <a:effectLst/>
          </c:spPr>
          <c:invertIfNegative val="0"/>
          <c:cat>
            <c:numRef>
              <c:f>'1.ii Finanziamento membri+debt'!$C$67:$W$67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'1.ii Finanziamento membri+debt'!$C$33:$W$33</c:f>
              <c:numCache>
                <c:formatCode>#,##0</c:formatCode>
                <c:ptCount val="21"/>
                <c:pt idx="1">
                  <c:v>180000</c:v>
                </c:pt>
                <c:pt idx="2">
                  <c:v>179280</c:v>
                </c:pt>
                <c:pt idx="3">
                  <c:v>178562.88</c:v>
                </c:pt>
                <c:pt idx="4">
                  <c:v>177848.62848000001</c:v>
                </c:pt>
                <c:pt idx="5">
                  <c:v>177137.23396608001</c:v>
                </c:pt>
                <c:pt idx="6">
                  <c:v>176428.68503021571</c:v>
                </c:pt>
                <c:pt idx="7">
                  <c:v>175722.97029009485</c:v>
                </c:pt>
                <c:pt idx="8">
                  <c:v>175020.07840893447</c:v>
                </c:pt>
                <c:pt idx="9">
                  <c:v>174319.99809529871</c:v>
                </c:pt>
                <c:pt idx="10">
                  <c:v>173622.71810291751</c:v>
                </c:pt>
                <c:pt idx="11">
                  <c:v>172928.22723050584</c:v>
                </c:pt>
                <c:pt idx="12">
                  <c:v>172236.51432158382</c:v>
                </c:pt>
                <c:pt idx="13">
                  <c:v>171547.5682642975</c:v>
                </c:pt>
                <c:pt idx="14">
                  <c:v>170861.3779912403</c:v>
                </c:pt>
                <c:pt idx="15">
                  <c:v>170177.93247927533</c:v>
                </c:pt>
                <c:pt idx="16">
                  <c:v>169497.22074935824</c:v>
                </c:pt>
                <c:pt idx="17">
                  <c:v>168819.23186636079</c:v>
                </c:pt>
                <c:pt idx="18">
                  <c:v>168143.95493889536</c:v>
                </c:pt>
                <c:pt idx="19">
                  <c:v>167471.37911913978</c:v>
                </c:pt>
                <c:pt idx="20">
                  <c:v>166801.49360266322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8C-4FC9-B3E3-284B9967A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62139487"/>
        <c:axId val="162136159"/>
      </c:barChart>
      <c:catAx>
        <c:axId val="16213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2136159"/>
        <c:crosses val="autoZero"/>
        <c:auto val="1"/>
        <c:lblAlgn val="ctr"/>
        <c:lblOffset val="100"/>
        <c:noMultiLvlLbl val="0"/>
      </c:catAx>
      <c:valAx>
        <c:axId val="162136159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2139487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32800022497187858"/>
          <c:y val="0.88652392135193625"/>
          <c:w val="0.42410933633295844"/>
          <c:h val="8.681631901275498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spc="0" baseline="0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Flusso</a:t>
            </a:r>
            <a:r>
              <a:rPr lang="it-IT" baseline="0"/>
              <a:t> di cassa cumulato, €</a:t>
            </a:r>
            <a:endParaRPr lang="it-IT"/>
          </a:p>
        </c:rich>
      </c:tx>
      <c:layout>
        <c:manualLayout>
          <c:xMode val="edge"/>
          <c:yMode val="edge"/>
          <c:x val="2.2857142857142857E-2"/>
          <c:y val="3.67393800229621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1" i="0" u="none" strike="noStrike" kern="1200" spc="0" baseline="0">
              <a:solidFill>
                <a:srgbClr val="00338D"/>
              </a:solidFill>
              <a:latin typeface="Arial"/>
              <a:ea typeface="Arial"/>
              <a:cs typeface="Arial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4563104611923508"/>
          <c:y val="0.15369680971279279"/>
          <c:w val="0.78457975253093348"/>
          <c:h val="0.7268466872180586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338D"/>
            </a:solidFill>
            <a:ln>
              <a:noFill/>
            </a:ln>
            <a:effectLst/>
          </c:spPr>
          <c:invertIfNegative val="0"/>
          <c:cat>
            <c:numRef>
              <c:f>'1.ii Finanziamento membri+debt'!$C$67:$W$67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'1.ii Finanziamento membri+debt'!$C$80:$W$80</c:f>
              <c:numCache>
                <c:formatCode>#,##0</c:formatCode>
                <c:ptCount val="21"/>
                <c:pt idx="0">
                  <c:v>-72000.000000000015</c:v>
                </c:pt>
                <c:pt idx="1">
                  <c:v>-61056.368883497009</c:v>
                </c:pt>
                <c:pt idx="2">
                  <c:v>-50243.082966993999</c:v>
                </c:pt>
                <c:pt idx="3">
                  <c:v>-39559.620869690989</c:v>
                </c:pt>
                <c:pt idx="4">
                  <c:v>-29005.46329631118</c:v>
                </c:pt>
                <c:pt idx="5">
                  <c:v>-18580.093028758878</c:v>
                </c:pt>
                <c:pt idx="6">
                  <c:v>-8282.9949178107745</c:v>
                </c:pt>
                <c:pt idx="7">
                  <c:v>1886.3441251595577</c:v>
                </c:pt>
                <c:pt idx="8">
                  <c:v>11928.435136424021</c:v>
                </c:pt>
                <c:pt idx="9">
                  <c:v>21843.787108109431</c:v>
                </c:pt>
                <c:pt idx="10">
                  <c:v>31632.906996374113</c:v>
                </c:pt>
                <c:pt idx="11">
                  <c:v>41296.299729551749</c:v>
                </c:pt>
                <c:pt idx="12">
                  <c:v>50834.468216262685</c:v>
                </c:pt>
                <c:pt idx="13">
                  <c:v>79202.58223698978</c:v>
                </c:pt>
                <c:pt idx="14">
                  <c:v>107446.47180163396</c:v>
                </c:pt>
                <c:pt idx="15">
                  <c:v>135566.63380801957</c:v>
                </c:pt>
                <c:pt idx="16">
                  <c:v>163563.56316637964</c:v>
                </c:pt>
                <c:pt idx="17">
                  <c:v>191437.75280730627</c:v>
                </c:pt>
                <c:pt idx="18">
                  <c:v>219189.69368966919</c:v>
                </c:pt>
                <c:pt idx="19">
                  <c:v>246819.87480850267</c:v>
                </c:pt>
                <c:pt idx="20">
                  <c:v>274328.7832028608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5-4B67-B421-91B5BCCB1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62139487"/>
        <c:axId val="162136159"/>
      </c:barChart>
      <c:catAx>
        <c:axId val="16213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2136159"/>
        <c:crosses val="autoZero"/>
        <c:auto val="1"/>
        <c:lblAlgn val="ctr"/>
        <c:lblOffset val="100"/>
        <c:noMultiLvlLbl val="0"/>
      </c:catAx>
      <c:valAx>
        <c:axId val="162136159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213948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 cap="flat" cmpd="sng" algn="ctr">
      <a:noFill/>
      <a:round/>
    </a:ln>
    <a:effectLst/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spc="0" baseline="0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Flusso</a:t>
            </a:r>
            <a:r>
              <a:rPr lang="it-IT" baseline="0"/>
              <a:t> di cassa cumulato, €</a:t>
            </a:r>
            <a:endParaRPr lang="it-IT"/>
          </a:p>
        </c:rich>
      </c:tx>
      <c:layout>
        <c:manualLayout>
          <c:xMode val="edge"/>
          <c:yMode val="edge"/>
          <c:x val="2.2857142857142857E-2"/>
          <c:y val="3.67393800229621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1" i="0" u="none" strike="noStrike" kern="1200" spc="0" baseline="0">
              <a:solidFill>
                <a:srgbClr val="00338D"/>
              </a:solidFill>
              <a:latin typeface="Arial"/>
              <a:ea typeface="Arial"/>
              <a:cs typeface="Arial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4563104611923508"/>
          <c:y val="0.15369680971279279"/>
          <c:w val="0.78457975253093348"/>
          <c:h val="0.726846818523181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338D"/>
            </a:solidFill>
            <a:ln>
              <a:noFill/>
            </a:ln>
            <a:effectLst/>
          </c:spPr>
          <c:invertIfNegative val="0"/>
          <c:cat>
            <c:numRef>
              <c:f>'2. Finanziamento Terzo'!$C$50:$W$50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'2. Finanziamento Terzo'!$C$54:$W$54</c:f>
              <c:numCache>
                <c:formatCode>#,##0</c:formatCode>
                <c:ptCount val="21"/>
                <c:pt idx="0">
                  <c:v>0</c:v>
                </c:pt>
                <c:pt idx="1">
                  <c:v>6349.8799999999992</c:v>
                </c:pt>
                <c:pt idx="2">
                  <c:v>12635.769999999999</c:v>
                </c:pt>
                <c:pt idx="3">
                  <c:v>18857.92596</c:v>
                </c:pt>
                <c:pt idx="4">
                  <c:v>25016.602816159997</c:v>
                </c:pt>
                <c:pt idx="5">
                  <c:v>31112.054484895358</c:v>
                </c:pt>
                <c:pt idx="6">
                  <c:v>37144.533866955775</c:v>
                </c:pt>
                <c:pt idx="7">
                  <c:v>43114.292851487953</c:v>
                </c:pt>
                <c:pt idx="8">
                  <c:v>49021.582320082001</c:v>
                </c:pt>
                <c:pt idx="9">
                  <c:v>54866.652150801674</c:v>
                </c:pt>
                <c:pt idx="10">
                  <c:v>60649.751222198465</c:v>
                </c:pt>
                <c:pt idx="11">
                  <c:v>69538.747417309671</c:v>
                </c:pt>
                <c:pt idx="12">
                  <c:v>78366.267627640438</c:v>
                </c:pt>
                <c:pt idx="13">
                  <c:v>87132.557757129878</c:v>
                </c:pt>
                <c:pt idx="14">
                  <c:v>95837.862726101361</c:v>
                </c:pt>
                <c:pt idx="15">
                  <c:v>104482.42647519696</c:v>
                </c:pt>
                <c:pt idx="16">
                  <c:v>113066.49196929617</c:v>
                </c:pt>
                <c:pt idx="17">
                  <c:v>121590.30120141899</c:v>
                </c:pt>
                <c:pt idx="18">
                  <c:v>130054.09519661331</c:v>
                </c:pt>
                <c:pt idx="19">
                  <c:v>138458.11401582687</c:v>
                </c:pt>
                <c:pt idx="20">
                  <c:v>146802.59675976355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8-48E9-9267-B80BD1827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62139487"/>
        <c:axId val="162136159"/>
      </c:barChart>
      <c:catAx>
        <c:axId val="16213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2136159"/>
        <c:crosses val="autoZero"/>
        <c:auto val="1"/>
        <c:lblAlgn val="ctr"/>
        <c:lblOffset val="100"/>
        <c:noMultiLvlLbl val="0"/>
      </c:catAx>
      <c:valAx>
        <c:axId val="162136159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213948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 cap="flat" cmpd="sng" algn="ctr">
      <a:noFill/>
      <a:round/>
    </a:ln>
    <a:effectLst/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spc="0" baseline="0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Flusso di cassa cumulato Esco, €</a:t>
            </a:r>
          </a:p>
        </c:rich>
      </c:tx>
      <c:layout>
        <c:manualLayout>
          <c:xMode val="edge"/>
          <c:yMode val="edge"/>
          <c:x val="2.2793106790192145E-2"/>
          <c:y val="3.53330961564477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1" i="0" u="none" strike="noStrike" kern="1200" spc="0" baseline="0">
              <a:solidFill>
                <a:srgbClr val="00338D"/>
              </a:solidFill>
              <a:latin typeface="Arial"/>
              <a:ea typeface="Arial"/>
              <a:cs typeface="Arial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8253600401006112"/>
          <c:y val="0.14835446945668498"/>
          <c:w val="0.75748278753194664"/>
          <c:h val="0.7356650062902789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338D"/>
            </a:solidFill>
            <a:ln w="3175">
              <a:solidFill>
                <a:srgbClr val="FFFFFF"/>
              </a:solidFill>
              <a:prstDash val="solid"/>
            </a:ln>
            <a:effectLst/>
          </c:spPr>
          <c:invertIfNegative val="0"/>
          <c:cat>
            <c:numRef>
              <c:f>'2. Finanziamento Terzo'!$C$50:$W$50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'2. Finanziamento Terzo'!$C$95:$W$95</c:f>
              <c:numCache>
                <c:formatCode>#,##0</c:formatCode>
                <c:ptCount val="21"/>
                <c:pt idx="0">
                  <c:v>-216000</c:v>
                </c:pt>
                <c:pt idx="1">
                  <c:v>-197130.51360000001</c:v>
                </c:pt>
                <c:pt idx="2">
                  <c:v>-175303.3824</c:v>
                </c:pt>
                <c:pt idx="3">
                  <c:v>-153542.3409792</c:v>
                </c:pt>
                <c:pt idx="4">
                  <c:v>-131847.12497848319</c:v>
                </c:pt>
                <c:pt idx="5">
                  <c:v>-110217.47109616926</c:v>
                </c:pt>
                <c:pt idx="6">
                  <c:v>-88653.117083784586</c:v>
                </c:pt>
                <c:pt idx="7">
                  <c:v>-67153.801741849442</c:v>
                </c:pt>
                <c:pt idx="8">
                  <c:v>-45719.264915682041</c:v>
                </c:pt>
                <c:pt idx="9">
                  <c:v>-24349.24749121931</c:v>
                </c:pt>
                <c:pt idx="10">
                  <c:v>-3043.4913908544331</c:v>
                </c:pt>
                <c:pt idx="11">
                  <c:v>15917.574030708987</c:v>
                </c:pt>
                <c:pt idx="12">
                  <c:v>34814.891190586153</c:v>
                </c:pt>
                <c:pt idx="13">
                  <c:v>53648.715081823815</c:v>
                </c:pt>
                <c:pt idx="14">
                  <c:v>72419.299677496514</c:v>
                </c:pt>
                <c:pt idx="15">
                  <c:v>91126.897934786524</c:v>
                </c:pt>
                <c:pt idx="16">
                  <c:v>109771.76179904738</c:v>
                </c:pt>
                <c:pt idx="17">
                  <c:v>128354.1422078512</c:v>
                </c:pt>
                <c:pt idx="18">
                  <c:v>146874.28909501981</c:v>
                </c:pt>
                <c:pt idx="19">
                  <c:v>165332.45139463973</c:v>
                </c:pt>
                <c:pt idx="20">
                  <c:v>183728.87704506118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C-411B-85D1-27E7802FA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62139487"/>
        <c:axId val="162136159"/>
      </c:barChart>
      <c:catAx>
        <c:axId val="16213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2136159"/>
        <c:crosses val="autoZero"/>
        <c:auto val="1"/>
        <c:lblAlgn val="ctr"/>
        <c:lblOffset val="100"/>
        <c:noMultiLvlLbl val="0"/>
      </c:catAx>
      <c:valAx>
        <c:axId val="162136159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213948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 cap="flat" cmpd="sng" algn="ctr">
      <a:noFill/>
      <a:round/>
    </a:ln>
    <a:effectLst/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spc="0" baseline="0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Flussi</a:t>
            </a:r>
            <a:r>
              <a:rPr lang="it-IT" baseline="0"/>
              <a:t> energetici</a:t>
            </a:r>
            <a:r>
              <a:rPr lang="it-IT"/>
              <a:t>, kWh/anno</a:t>
            </a:r>
          </a:p>
        </c:rich>
      </c:tx>
      <c:layout>
        <c:manualLayout>
          <c:xMode val="edge"/>
          <c:yMode val="edge"/>
          <c:x val="2.2857142857142857E-2"/>
          <c:y val="3.6764705882352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1" i="0" u="none" strike="noStrike" kern="1200" spc="0" baseline="0">
              <a:solidFill>
                <a:srgbClr val="00338D"/>
              </a:solidFill>
              <a:latin typeface="Arial"/>
              <a:ea typeface="Arial"/>
              <a:cs typeface="Arial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944521934758155"/>
          <c:y val="0.15939770686558916"/>
          <c:w val="0.81219415073115864"/>
          <c:h val="0.64327853755122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Finanziamento PNRR'!$B$34</c:f>
              <c:strCache>
                <c:ptCount val="1"/>
                <c:pt idx="0">
                  <c:v>EE condivisa CER</c:v>
                </c:pt>
              </c:strCache>
            </c:strRef>
          </c:tx>
          <c:spPr>
            <a:solidFill>
              <a:srgbClr val="00338D"/>
            </a:solidFill>
            <a:ln w="3175">
              <a:solidFill>
                <a:srgbClr val="FFFFFF"/>
              </a:solidFill>
              <a:prstDash val="solid"/>
            </a:ln>
            <a:effectLst/>
          </c:spPr>
          <c:invertIfNegative val="0"/>
          <c:cat>
            <c:numRef>
              <c:f>'3. Finanziamento PNRR'!$C$69:$W$69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'3. Finanziamento PNRR'!$C$32:$W$32</c:f>
              <c:numCache>
                <c:formatCode>#,##0</c:formatCode>
                <c:ptCount val="21"/>
                <c:pt idx="1">
                  <c:v>240000</c:v>
                </c:pt>
                <c:pt idx="2">
                  <c:v>239040</c:v>
                </c:pt>
                <c:pt idx="3">
                  <c:v>238083.84</c:v>
                </c:pt>
                <c:pt idx="4">
                  <c:v>237131.50464</c:v>
                </c:pt>
                <c:pt idx="5">
                  <c:v>236182.97862144001</c:v>
                </c:pt>
                <c:pt idx="6">
                  <c:v>235238.24670695426</c:v>
                </c:pt>
                <c:pt idx="7">
                  <c:v>234297.29372012644</c:v>
                </c:pt>
                <c:pt idx="8">
                  <c:v>233360.10454524594</c:v>
                </c:pt>
                <c:pt idx="9">
                  <c:v>232426.66412706496</c:v>
                </c:pt>
                <c:pt idx="10">
                  <c:v>231496.95747055669</c:v>
                </c:pt>
                <c:pt idx="11">
                  <c:v>230570.96964067448</c:v>
                </c:pt>
                <c:pt idx="12">
                  <c:v>229648.68576211177</c:v>
                </c:pt>
                <c:pt idx="13">
                  <c:v>228730.09101906331</c:v>
                </c:pt>
                <c:pt idx="14">
                  <c:v>227815.17065498707</c:v>
                </c:pt>
                <c:pt idx="15">
                  <c:v>226903.90997236711</c:v>
                </c:pt>
                <c:pt idx="16">
                  <c:v>225996.29433247764</c:v>
                </c:pt>
                <c:pt idx="17">
                  <c:v>225092.30915514773</c:v>
                </c:pt>
                <c:pt idx="18">
                  <c:v>224191.93991852715</c:v>
                </c:pt>
                <c:pt idx="19">
                  <c:v>223295.17215885303</c:v>
                </c:pt>
                <c:pt idx="20">
                  <c:v>222401.99147021762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1-46FF-ACB3-FBD0C34FEA61}"/>
            </c:ext>
          </c:extLst>
        </c:ser>
        <c:ser>
          <c:idx val="1"/>
          <c:order val="1"/>
          <c:tx>
            <c:strRef>
              <c:f>'3. Finanziamento PNRR'!$B$32</c:f>
              <c:strCache>
                <c:ptCount val="1"/>
                <c:pt idx="0">
                  <c:v>EE prodotta</c:v>
                </c:pt>
              </c:strCache>
            </c:strRef>
          </c:tx>
          <c:spPr>
            <a:solidFill>
              <a:srgbClr val="00B8F5"/>
            </a:solidFill>
            <a:ln w="3175">
              <a:solidFill>
                <a:srgbClr val="FFFFFF"/>
              </a:solidFill>
              <a:prstDash val="solid"/>
            </a:ln>
            <a:effectLst/>
          </c:spPr>
          <c:invertIfNegative val="0"/>
          <c:cat>
            <c:numRef>
              <c:f>'3. Finanziamento PNRR'!$C$69:$W$69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'3. Finanziamento PNRR'!$C$34:$W$34</c:f>
              <c:numCache>
                <c:formatCode>#,##0</c:formatCode>
                <c:ptCount val="21"/>
                <c:pt idx="1">
                  <c:v>180000</c:v>
                </c:pt>
                <c:pt idx="2">
                  <c:v>179280</c:v>
                </c:pt>
                <c:pt idx="3">
                  <c:v>178562.88</c:v>
                </c:pt>
                <c:pt idx="4">
                  <c:v>177848.62848000001</c:v>
                </c:pt>
                <c:pt idx="5">
                  <c:v>177137.23396608001</c:v>
                </c:pt>
                <c:pt idx="6">
                  <c:v>176428.68503021571</c:v>
                </c:pt>
                <c:pt idx="7">
                  <c:v>175722.97029009485</c:v>
                </c:pt>
                <c:pt idx="8">
                  <c:v>175020.07840893447</c:v>
                </c:pt>
                <c:pt idx="9">
                  <c:v>174319.99809529871</c:v>
                </c:pt>
                <c:pt idx="10">
                  <c:v>173622.71810291751</c:v>
                </c:pt>
                <c:pt idx="11">
                  <c:v>172928.22723050584</c:v>
                </c:pt>
                <c:pt idx="12">
                  <c:v>172236.51432158382</c:v>
                </c:pt>
                <c:pt idx="13">
                  <c:v>171547.5682642975</c:v>
                </c:pt>
                <c:pt idx="14">
                  <c:v>170861.3779912403</c:v>
                </c:pt>
                <c:pt idx="15">
                  <c:v>170177.93247927533</c:v>
                </c:pt>
                <c:pt idx="16">
                  <c:v>169497.22074935824</c:v>
                </c:pt>
                <c:pt idx="17">
                  <c:v>168819.23186636079</c:v>
                </c:pt>
                <c:pt idx="18">
                  <c:v>168143.95493889536</c:v>
                </c:pt>
                <c:pt idx="19">
                  <c:v>167471.37911913978</c:v>
                </c:pt>
                <c:pt idx="20">
                  <c:v>166801.49360266322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41-46FF-ACB3-FBD0C34FE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62139487"/>
        <c:axId val="162136159"/>
      </c:barChart>
      <c:catAx>
        <c:axId val="16213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2136159"/>
        <c:crosses val="autoZero"/>
        <c:auto val="1"/>
        <c:lblAlgn val="ctr"/>
        <c:lblOffset val="100"/>
        <c:noMultiLvlLbl val="0"/>
      </c:catAx>
      <c:valAx>
        <c:axId val="162136159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2139487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32800022497187858"/>
          <c:y val="0.88652392135193625"/>
          <c:w val="0.42410933633295844"/>
          <c:h val="8.681631901275498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spc="0" baseline="0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Flusso</a:t>
            </a:r>
            <a:r>
              <a:rPr lang="it-IT" baseline="0"/>
              <a:t> di cassa cumulato, €</a:t>
            </a:r>
            <a:endParaRPr lang="it-IT"/>
          </a:p>
        </c:rich>
      </c:tx>
      <c:layout>
        <c:manualLayout>
          <c:xMode val="edge"/>
          <c:yMode val="edge"/>
          <c:x val="2.2857142857142857E-2"/>
          <c:y val="3.67393800229621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1" i="0" u="none" strike="noStrike" kern="1200" spc="0" baseline="0">
              <a:solidFill>
                <a:srgbClr val="00338D"/>
              </a:solidFill>
              <a:latin typeface="Arial"/>
              <a:ea typeface="Arial"/>
              <a:cs typeface="Arial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4563104611923508"/>
          <c:y val="0.15369680971279279"/>
          <c:w val="0.78457975253093348"/>
          <c:h val="0.7268466872180586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338D"/>
            </a:solidFill>
            <a:ln>
              <a:noFill/>
            </a:ln>
            <a:effectLst/>
          </c:spPr>
          <c:invertIfNegative val="0"/>
          <c:cat>
            <c:numRef>
              <c:f>'3. Finanziamento PNRR'!$C$69:$W$69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'3. Finanziamento PNRR'!$C$81:$W$81</c:f>
              <c:numCache>
                <c:formatCode>#,##0</c:formatCode>
                <c:ptCount val="21"/>
                <c:pt idx="0">
                  <c:v>-72000</c:v>
                </c:pt>
                <c:pt idx="1">
                  <c:v>-59489.129521498711</c:v>
                </c:pt>
                <c:pt idx="2">
                  <c:v>-47076.924242997426</c:v>
                </c:pt>
                <c:pt idx="3">
                  <c:v>-34762.989503696139</c:v>
                </c:pt>
                <c:pt idx="4">
                  <c:v>-22546.932221438055</c:v>
                </c:pt>
                <c:pt idx="5">
                  <c:v>-10428.360886394999</c:v>
                </c:pt>
                <c:pt idx="6">
                  <c:v>1593.1144452218941</c:v>
                </c:pt>
                <c:pt idx="7">
                  <c:v>13517.882157426327</c:v>
                </c:pt>
                <c:pt idx="8">
                  <c:v>25346.329080695952</c:v>
                </c:pt>
                <c:pt idx="9">
                  <c:v>37078.840498186502</c:v>
                </c:pt>
                <c:pt idx="10">
                  <c:v>48715.800151921096</c:v>
                </c:pt>
                <c:pt idx="11">
                  <c:v>60257.590248954759</c:v>
                </c:pt>
                <c:pt idx="12">
                  <c:v>71704.591467514285</c:v>
                </c:pt>
                <c:pt idx="13">
                  <c:v>91180.612484612298</c:v>
                </c:pt>
                <c:pt idx="14">
                  <c:v>110562.60141764191</c:v>
                </c:pt>
                <c:pt idx="15">
                  <c:v>129850.9343949394</c:v>
                </c:pt>
                <c:pt idx="16">
                  <c:v>149045.9860403277</c:v>
                </c:pt>
                <c:pt idx="17">
                  <c:v>168148.12947913446</c:v>
                </c:pt>
                <c:pt idx="18">
                  <c:v>187157.73634418598</c:v>
                </c:pt>
                <c:pt idx="19">
                  <c:v>206075.17678177729</c:v>
                </c:pt>
                <c:pt idx="20">
                  <c:v>224900.81945761823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3-4093-9D89-3EB879AB7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62139487"/>
        <c:axId val="162136159"/>
      </c:barChart>
      <c:catAx>
        <c:axId val="16213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2136159"/>
        <c:crosses val="autoZero"/>
        <c:auto val="1"/>
        <c:lblAlgn val="ctr"/>
        <c:lblOffset val="100"/>
        <c:noMultiLvlLbl val="0"/>
      </c:catAx>
      <c:valAx>
        <c:axId val="162136159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6213948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 cap="flat" cmpd="sng" algn="ctr">
      <a:noFill/>
      <a:round/>
    </a:ln>
    <a:effectLst/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spc="0" baseline="0">
                <a:solidFill>
                  <a:srgbClr val="00338D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EEX,</a:t>
            </a:r>
            <a:r>
              <a:rPr lang="it-IT" baseline="0"/>
              <a:t> Italian Power Future, €/MWh (As Of 01/01/2023)</a:t>
            </a:r>
            <a:endParaRPr lang="it-IT"/>
          </a:p>
        </c:rich>
      </c:tx>
      <c:layout>
        <c:manualLayout>
          <c:xMode val="edge"/>
          <c:yMode val="edge"/>
          <c:x val="2.2857142857142857E-2"/>
          <c:y val="3.6363636363636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1" i="0" u="none" strike="noStrike" kern="1200" spc="0" baseline="0">
              <a:solidFill>
                <a:srgbClr val="00338D"/>
              </a:solidFill>
              <a:latin typeface="Arial"/>
              <a:ea typeface="Arial"/>
              <a:cs typeface="Arial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945106861642292E-2"/>
          <c:y val="0.15212491052254831"/>
          <c:w val="0.87791203599550061"/>
          <c:h val="0.658390121689334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38D"/>
            </a:solidFill>
            <a:ln w="3175">
              <a:solidFill>
                <a:srgbClr val="FFFFFF"/>
              </a:solidFill>
              <a:prstDash val="solid"/>
            </a:ln>
            <a:effectLst/>
          </c:spPr>
          <c:invertIfNegative val="0"/>
          <c:cat>
            <c:strRef>
              <c:f>'Curva prezzo EE'!$B$2:$B$18</c:f>
              <c:strCache>
                <c:ptCount val="17"/>
                <c:pt idx="0">
                  <c:v>Jun/23</c:v>
                </c:pt>
                <c:pt idx="1">
                  <c:v>Jul/23</c:v>
                </c:pt>
                <c:pt idx="2">
                  <c:v>Aug/23</c:v>
                </c:pt>
                <c:pt idx="3">
                  <c:v>Sep/23</c:v>
                </c:pt>
                <c:pt idx="4">
                  <c:v>Oct/23</c:v>
                </c:pt>
                <c:pt idx="5">
                  <c:v>nov-23</c:v>
                </c:pt>
                <c:pt idx="6">
                  <c:v>Dec/23</c:v>
                </c:pt>
                <c:pt idx="7">
                  <c:v>Cal-24</c:v>
                </c:pt>
                <c:pt idx="8">
                  <c:v>Cal-25</c:v>
                </c:pt>
                <c:pt idx="9">
                  <c:v>Cal-26</c:v>
                </c:pt>
                <c:pt idx="10">
                  <c:v>Cal-27</c:v>
                </c:pt>
                <c:pt idx="11">
                  <c:v>Cal-28</c:v>
                </c:pt>
                <c:pt idx="12">
                  <c:v>Cal-29</c:v>
                </c:pt>
                <c:pt idx="13">
                  <c:v>Cal-30</c:v>
                </c:pt>
                <c:pt idx="14">
                  <c:v>Cal-31</c:v>
                </c:pt>
                <c:pt idx="15">
                  <c:v>Cal-32</c:v>
                </c:pt>
                <c:pt idx="16">
                  <c:v>Cal-33</c:v>
                </c:pt>
              </c:strCache>
            </c:strRef>
          </c:cat>
          <c:val>
            <c:numRef>
              <c:f>'Curva prezzo EE'!$E$2:$E$18</c:f>
              <c:numCache>
                <c:formatCode>General</c:formatCode>
                <c:ptCount val="17"/>
                <c:pt idx="0">
                  <c:v>88.79</c:v>
                </c:pt>
                <c:pt idx="1">
                  <c:v>92.99</c:v>
                </c:pt>
                <c:pt idx="2">
                  <c:v>93.55</c:v>
                </c:pt>
                <c:pt idx="3">
                  <c:v>103.49</c:v>
                </c:pt>
                <c:pt idx="4">
                  <c:v>108.94</c:v>
                </c:pt>
                <c:pt idx="5">
                  <c:v>131.56</c:v>
                </c:pt>
                <c:pt idx="6">
                  <c:v>133.01</c:v>
                </c:pt>
                <c:pt idx="7">
                  <c:v>126.98</c:v>
                </c:pt>
                <c:pt idx="8">
                  <c:v>117.13</c:v>
                </c:pt>
                <c:pt idx="9">
                  <c:v>97.74</c:v>
                </c:pt>
                <c:pt idx="10">
                  <c:v>89.73</c:v>
                </c:pt>
                <c:pt idx="11">
                  <c:v>88.06</c:v>
                </c:pt>
                <c:pt idx="12">
                  <c:v>86.59</c:v>
                </c:pt>
                <c:pt idx="13">
                  <c:v>86.96</c:v>
                </c:pt>
                <c:pt idx="14">
                  <c:v>85.46</c:v>
                </c:pt>
                <c:pt idx="15">
                  <c:v>85.08</c:v>
                </c:pt>
                <c:pt idx="16">
                  <c:v>85.33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2-4C75-9A80-90CF99762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23770799"/>
        <c:axId val="1923763311"/>
      </c:barChart>
      <c:catAx>
        <c:axId val="1923770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923763311"/>
        <c:crosses val="autoZero"/>
        <c:auto val="1"/>
        <c:lblAlgn val="ctr"/>
        <c:lblOffset val="100"/>
        <c:noMultiLvlLbl val="0"/>
      </c:catAx>
      <c:valAx>
        <c:axId val="192376331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9237707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 cap="flat" cmpd="sng" algn="ctr">
      <a:noFill/>
      <a:round/>
    </a:ln>
    <a:effectLst/>
  </c:spPr>
  <c:txPr>
    <a:bodyPr/>
    <a:lstStyle/>
    <a:p>
      <a:pPr>
        <a:defRPr sz="800" b="0" i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53</xdr:row>
      <xdr:rowOff>0</xdr:rowOff>
    </xdr:from>
    <xdr:to>
      <xdr:col>16</xdr:col>
      <xdr:colOff>19357</xdr:colOff>
      <xdr:row>70</xdr:row>
      <xdr:rowOff>20320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F83B0EF-97EF-436F-8CCD-6A5A2DCB40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53</xdr:row>
      <xdr:rowOff>0</xdr:rowOff>
    </xdr:from>
    <xdr:to>
      <xdr:col>23</xdr:col>
      <xdr:colOff>173990</xdr:colOff>
      <xdr:row>68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4DDE5F9-97E2-4092-91F3-68D24931DC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83</xdr:row>
      <xdr:rowOff>0</xdr:rowOff>
    </xdr:from>
    <xdr:to>
      <xdr:col>22</xdr:col>
      <xdr:colOff>170179</xdr:colOff>
      <xdr:row>98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F642BDA-465C-4478-BC0D-BF41D3F73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83</xdr:row>
      <xdr:rowOff>0</xdr:rowOff>
    </xdr:from>
    <xdr:to>
      <xdr:col>12</xdr:col>
      <xdr:colOff>26977</xdr:colOff>
      <xdr:row>98</xdr:row>
      <xdr:rowOff>16510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6994866-FFFE-45FF-9539-A362D5C9C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57</xdr:row>
      <xdr:rowOff>0</xdr:rowOff>
    </xdr:from>
    <xdr:to>
      <xdr:col>16</xdr:col>
      <xdr:colOff>19356</xdr:colOff>
      <xdr:row>74</xdr:row>
      <xdr:rowOff>4137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6C95C7E-373F-4C24-B093-017F72D13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613832</xdr:colOff>
      <xdr:row>96</xdr:row>
      <xdr:rowOff>0</xdr:rowOff>
    </xdr:from>
    <xdr:to>
      <xdr:col>16</xdr:col>
      <xdr:colOff>23165</xdr:colOff>
      <xdr:row>113</xdr:row>
      <xdr:rowOff>19377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ECF2E4A-52CE-465A-A918-BC68EB933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84</xdr:row>
      <xdr:rowOff>0</xdr:rowOff>
    </xdr:from>
    <xdr:to>
      <xdr:col>22</xdr:col>
      <xdr:colOff>170179</xdr:colOff>
      <xdr:row>99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D432F7-63F5-4E74-AFB2-2B26FE8F4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84</xdr:row>
      <xdr:rowOff>0</xdr:rowOff>
    </xdr:from>
    <xdr:to>
      <xdr:col>12</xdr:col>
      <xdr:colOff>26977</xdr:colOff>
      <xdr:row>99</xdr:row>
      <xdr:rowOff>16510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A3F15E-91A4-4126-BEF6-BFD89C6D5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17</xdr:col>
      <xdr:colOff>183515</xdr:colOff>
      <xdr:row>12</xdr:row>
      <xdr:rowOff>14605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0B4A05-1545-4DC3-B5D2-9DF657C87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51"/>
  <sheetViews>
    <sheetView zoomScale="80" zoomScaleNormal="80" workbookViewId="0">
      <selection activeCell="I19" sqref="I19"/>
    </sheetView>
  </sheetViews>
  <sheetFormatPr defaultRowHeight="14.5" x14ac:dyDescent="0.35"/>
  <cols>
    <col min="2" max="2" width="32.90625" bestFit="1" customWidth="1"/>
    <col min="3" max="3" width="14.54296875" style="9" customWidth="1"/>
    <col min="4" max="4" width="14.54296875" customWidth="1"/>
    <col min="7" max="7" width="32.90625" bestFit="1" customWidth="1"/>
    <col min="8" max="8" width="14.54296875" style="9" customWidth="1"/>
    <col min="9" max="9" width="25.453125" bestFit="1" customWidth="1"/>
    <col min="10" max="10" width="25.08984375" bestFit="1" customWidth="1"/>
    <col min="12" max="12" width="10.453125" bestFit="1" customWidth="1"/>
  </cols>
  <sheetData>
    <row r="2" spans="2:13" x14ac:dyDescent="0.35">
      <c r="B2" s="1" t="s">
        <v>0</v>
      </c>
      <c r="G2" s="1"/>
    </row>
    <row r="4" spans="2:13" x14ac:dyDescent="0.35">
      <c r="B4" s="5" t="s">
        <v>1</v>
      </c>
      <c r="C4" s="8" t="s">
        <v>4</v>
      </c>
      <c r="D4" s="8" t="s">
        <v>11</v>
      </c>
      <c r="G4" s="5" t="s">
        <v>21</v>
      </c>
      <c r="H4" s="8" t="s">
        <v>11</v>
      </c>
      <c r="I4" s="1" t="s">
        <v>23</v>
      </c>
      <c r="J4" s="1" t="s">
        <v>24</v>
      </c>
      <c r="L4" t="s">
        <v>34</v>
      </c>
    </row>
    <row r="5" spans="2:13" x14ac:dyDescent="0.35">
      <c r="B5" s="3" t="s">
        <v>10</v>
      </c>
      <c r="C5" s="9" t="s">
        <v>5</v>
      </c>
      <c r="D5" s="6">
        <v>100</v>
      </c>
      <c r="G5" s="3" t="s">
        <v>22</v>
      </c>
      <c r="H5" s="17">
        <v>40</v>
      </c>
      <c r="I5" s="6">
        <v>3749.84</v>
      </c>
      <c r="J5" s="2">
        <f>H5*I5</f>
        <v>149993.60000000001</v>
      </c>
      <c r="L5" s="18">
        <f>D6*D5*D8</f>
        <v>55500</v>
      </c>
    </row>
    <row r="6" spans="2:13" x14ac:dyDescent="0.35">
      <c r="B6" s="3" t="s">
        <v>9</v>
      </c>
      <c r="C6" s="9" t="s">
        <v>6</v>
      </c>
      <c r="D6" s="6">
        <v>1500</v>
      </c>
      <c r="G6" s="3"/>
    </row>
    <row r="7" spans="2:13" x14ac:dyDescent="0.35">
      <c r="B7" s="3" t="s">
        <v>35</v>
      </c>
      <c r="C7" s="9" t="s">
        <v>7</v>
      </c>
      <c r="D7" s="7">
        <v>0.44</v>
      </c>
      <c r="G7" s="3"/>
      <c r="L7" s="16">
        <f>L5/J5</f>
        <v>0.37001578734025986</v>
      </c>
      <c r="M7" t="s">
        <v>2</v>
      </c>
    </row>
    <row r="8" spans="2:13" x14ac:dyDescent="0.35">
      <c r="B8" s="3" t="s">
        <v>8</v>
      </c>
      <c r="C8" s="9" t="s">
        <v>7</v>
      </c>
      <c r="D8" s="7">
        <v>0.37</v>
      </c>
      <c r="G8" s="3"/>
      <c r="L8" s="4">
        <f>L7-D8</f>
        <v>1.5787340259865168E-5</v>
      </c>
    </row>
    <row r="9" spans="2:13" x14ac:dyDescent="0.35">
      <c r="B9" s="3" t="s">
        <v>38</v>
      </c>
      <c r="C9" s="9" t="s">
        <v>39</v>
      </c>
      <c r="D9" s="22">
        <v>20</v>
      </c>
      <c r="G9" s="3"/>
      <c r="L9" s="4"/>
    </row>
    <row r="10" spans="2:13" x14ac:dyDescent="0.35">
      <c r="B10" s="3" t="s">
        <v>49</v>
      </c>
      <c r="D10" s="24">
        <v>-5.0000000000000001E-3</v>
      </c>
      <c r="G10" s="3"/>
      <c r="L10" s="4"/>
    </row>
    <row r="12" spans="2:13" x14ac:dyDescent="0.35">
      <c r="B12" s="5" t="s">
        <v>3</v>
      </c>
      <c r="G12" s="5"/>
    </row>
    <row r="13" spans="2:13" x14ac:dyDescent="0.35">
      <c r="B13" s="3" t="s">
        <v>13</v>
      </c>
      <c r="C13" s="9" t="s">
        <v>12</v>
      </c>
      <c r="D13" s="10">
        <f>100/1000</f>
        <v>0.1</v>
      </c>
      <c r="G13" s="3"/>
    </row>
    <row r="14" spans="2:13" x14ac:dyDescent="0.35">
      <c r="B14" s="3" t="s">
        <v>14</v>
      </c>
      <c r="C14" s="9" t="s">
        <v>12</v>
      </c>
      <c r="D14" s="10">
        <f>D13+0.15</f>
        <v>0.25</v>
      </c>
      <c r="G14" s="3"/>
    </row>
    <row r="15" spans="2:13" x14ac:dyDescent="0.35">
      <c r="B15" s="3" t="s">
        <v>15</v>
      </c>
      <c r="C15" s="9" t="s">
        <v>12</v>
      </c>
      <c r="D15" s="10">
        <v>0.11</v>
      </c>
      <c r="G15" s="3"/>
    </row>
    <row r="16" spans="2:13" x14ac:dyDescent="0.35">
      <c r="B16" s="3" t="s">
        <v>19</v>
      </c>
      <c r="C16" s="9" t="s">
        <v>12</v>
      </c>
      <c r="D16" s="10">
        <v>8.5000000000000006E-2</v>
      </c>
      <c r="G16" s="3"/>
    </row>
    <row r="18" spans="2:23" x14ac:dyDescent="0.35">
      <c r="B18" s="3" t="s">
        <v>16</v>
      </c>
      <c r="C18" s="9" t="s">
        <v>17</v>
      </c>
      <c r="D18" s="6">
        <v>1300</v>
      </c>
      <c r="E18" s="2">
        <f>D18*D5</f>
        <v>130000</v>
      </c>
      <c r="G18" s="3" t="s">
        <v>50</v>
      </c>
      <c r="H18" s="26">
        <f>SUM(C46:W46)</f>
        <v>271181.07296294946</v>
      </c>
    </row>
    <row r="19" spans="2:23" x14ac:dyDescent="0.35">
      <c r="B19" s="3" t="s">
        <v>18</v>
      </c>
      <c r="C19" s="9" t="s">
        <v>20</v>
      </c>
      <c r="D19" s="7">
        <v>0.03</v>
      </c>
      <c r="G19" s="3"/>
    </row>
    <row r="20" spans="2:23" x14ac:dyDescent="0.35">
      <c r="B20" s="3" t="s">
        <v>42</v>
      </c>
      <c r="C20" s="9" t="s">
        <v>7</v>
      </c>
      <c r="D20" s="7">
        <v>0.28000000000000003</v>
      </c>
      <c r="G20" s="3"/>
    </row>
    <row r="21" spans="2:23" x14ac:dyDescent="0.35">
      <c r="B21" s="3"/>
      <c r="G21" s="3"/>
    </row>
    <row r="23" spans="2:23" x14ac:dyDescent="0.35">
      <c r="B23" s="11"/>
      <c r="C23" s="12">
        <v>0</v>
      </c>
      <c r="D23" s="12">
        <v>1</v>
      </c>
      <c r="E23" s="12">
        <v>2</v>
      </c>
      <c r="F23" s="12">
        <v>3</v>
      </c>
      <c r="G23" s="12">
        <v>4</v>
      </c>
      <c r="H23" s="12">
        <v>5</v>
      </c>
      <c r="I23" s="12">
        <v>6</v>
      </c>
      <c r="J23" s="12">
        <v>7</v>
      </c>
      <c r="K23" s="12">
        <v>8</v>
      </c>
      <c r="L23" s="12">
        <v>9</v>
      </c>
      <c r="M23" s="12">
        <v>10</v>
      </c>
      <c r="N23" s="12">
        <v>11</v>
      </c>
      <c r="O23" s="12">
        <v>12</v>
      </c>
      <c r="P23" s="12">
        <v>13</v>
      </c>
      <c r="Q23" s="12">
        <v>14</v>
      </c>
      <c r="R23" s="12">
        <v>15</v>
      </c>
      <c r="S23" s="12">
        <v>16</v>
      </c>
      <c r="T23" s="12">
        <v>17</v>
      </c>
      <c r="U23" s="12">
        <v>18</v>
      </c>
      <c r="V23" s="12">
        <v>19</v>
      </c>
      <c r="W23" s="12">
        <v>20</v>
      </c>
    </row>
    <row r="24" spans="2:23" x14ac:dyDescent="0.35">
      <c r="B24" t="s">
        <v>25</v>
      </c>
      <c r="D24" s="2">
        <f>$D$5*$D$6</f>
        <v>150000</v>
      </c>
      <c r="E24" s="2">
        <f>D24*(1+$D$10)</f>
        <v>149250</v>
      </c>
      <c r="F24" s="2">
        <f t="shared" ref="F24:W24" si="0">E24*(1+$D$10)</f>
        <v>148503.75</v>
      </c>
      <c r="G24" s="2">
        <f t="shared" si="0"/>
        <v>147761.23125000001</v>
      </c>
      <c r="H24" s="2">
        <f t="shared" si="0"/>
        <v>147022.42509375</v>
      </c>
      <c r="I24" s="2">
        <f t="shared" si="0"/>
        <v>146287.31296828124</v>
      </c>
      <c r="J24" s="2">
        <f t="shared" si="0"/>
        <v>145555.87640343985</v>
      </c>
      <c r="K24" s="2">
        <f t="shared" si="0"/>
        <v>144828.09702142264</v>
      </c>
      <c r="L24" s="2">
        <f t="shared" si="0"/>
        <v>144103.95653631553</v>
      </c>
      <c r="M24" s="2">
        <f t="shared" si="0"/>
        <v>143383.43675363396</v>
      </c>
      <c r="N24" s="2">
        <f t="shared" si="0"/>
        <v>142666.51956986578</v>
      </c>
      <c r="O24" s="2">
        <f t="shared" si="0"/>
        <v>141953.18697201644</v>
      </c>
      <c r="P24" s="2">
        <f t="shared" si="0"/>
        <v>141243.42103715637</v>
      </c>
      <c r="Q24" s="2">
        <f t="shared" si="0"/>
        <v>140537.20393197058</v>
      </c>
      <c r="R24" s="2">
        <f t="shared" si="0"/>
        <v>139834.51791231072</v>
      </c>
      <c r="S24" s="2">
        <f t="shared" si="0"/>
        <v>139135.34532274917</v>
      </c>
      <c r="T24" s="2">
        <f t="shared" si="0"/>
        <v>138439.66859613542</v>
      </c>
      <c r="U24" s="2">
        <f t="shared" si="0"/>
        <v>137747.47025315475</v>
      </c>
      <c r="V24" s="2">
        <f t="shared" si="0"/>
        <v>137058.73290188899</v>
      </c>
      <c r="W24" s="2">
        <f t="shared" si="0"/>
        <v>136373.43923737953</v>
      </c>
    </row>
    <row r="25" spans="2:23" x14ac:dyDescent="0.35">
      <c r="B25" t="s">
        <v>26</v>
      </c>
      <c r="D25" s="2">
        <f>$D$7*D24</f>
        <v>66000</v>
      </c>
      <c r="E25" s="2">
        <f t="shared" ref="E25:W25" si="1">$D$7*E24</f>
        <v>65670</v>
      </c>
      <c r="F25" s="2">
        <f t="shared" si="1"/>
        <v>65341.65</v>
      </c>
      <c r="G25" s="2">
        <f t="shared" si="1"/>
        <v>65014.941750000005</v>
      </c>
      <c r="H25" s="2">
        <f t="shared" si="1"/>
        <v>64689.86704125</v>
      </c>
      <c r="I25" s="2">
        <f t="shared" si="1"/>
        <v>64366.417706043751</v>
      </c>
      <c r="J25" s="2">
        <f t="shared" si="1"/>
        <v>64044.585617513534</v>
      </c>
      <c r="K25" s="2">
        <f t="shared" si="1"/>
        <v>63724.362689425965</v>
      </c>
      <c r="L25" s="2">
        <f t="shared" si="1"/>
        <v>63405.74087597883</v>
      </c>
      <c r="M25" s="2">
        <f t="shared" si="1"/>
        <v>63088.712171598941</v>
      </c>
      <c r="N25" s="2">
        <f t="shared" si="1"/>
        <v>62773.268610740939</v>
      </c>
      <c r="O25" s="2">
        <f t="shared" si="1"/>
        <v>62459.402267687234</v>
      </c>
      <c r="P25" s="2">
        <f t="shared" si="1"/>
        <v>62147.105256348805</v>
      </c>
      <c r="Q25" s="2">
        <f t="shared" si="1"/>
        <v>61836.369730067054</v>
      </c>
      <c r="R25" s="2">
        <f t="shared" si="1"/>
        <v>61527.187881416721</v>
      </c>
      <c r="S25" s="2">
        <f t="shared" si="1"/>
        <v>61219.551942009632</v>
      </c>
      <c r="T25" s="2">
        <f t="shared" si="1"/>
        <v>60913.454182299589</v>
      </c>
      <c r="U25" s="2">
        <f t="shared" si="1"/>
        <v>60608.886911388094</v>
      </c>
      <c r="V25" s="2">
        <f t="shared" si="1"/>
        <v>60305.842476831152</v>
      </c>
      <c r="W25" s="2">
        <f t="shared" si="1"/>
        <v>60004.313264446995</v>
      </c>
    </row>
    <row r="26" spans="2:23" x14ac:dyDescent="0.35">
      <c r="B26" t="s">
        <v>27</v>
      </c>
      <c r="D26" s="2">
        <f>$D$8*D24</f>
        <v>55500</v>
      </c>
      <c r="E26" s="2">
        <f t="shared" ref="E26:W26" si="2">$D$8*E24</f>
        <v>55222.5</v>
      </c>
      <c r="F26" s="2">
        <f t="shared" si="2"/>
        <v>54946.387499999997</v>
      </c>
      <c r="G26" s="2">
        <f t="shared" si="2"/>
        <v>54671.655562500004</v>
      </c>
      <c r="H26" s="2">
        <f t="shared" si="2"/>
        <v>54398.297284687498</v>
      </c>
      <c r="I26" s="2">
        <f t="shared" si="2"/>
        <v>54126.30579826406</v>
      </c>
      <c r="J26" s="2">
        <f t="shared" si="2"/>
        <v>53855.674269272742</v>
      </c>
      <c r="K26" s="2">
        <f t="shared" si="2"/>
        <v>53586.395897926377</v>
      </c>
      <c r="L26" s="2">
        <f t="shared" si="2"/>
        <v>53318.463918436748</v>
      </c>
      <c r="M26" s="2">
        <f t="shared" si="2"/>
        <v>53051.871598844562</v>
      </c>
      <c r="N26" s="2">
        <f t="shared" si="2"/>
        <v>52786.612240850336</v>
      </c>
      <c r="O26" s="2">
        <f t="shared" si="2"/>
        <v>52522.679179646082</v>
      </c>
      <c r="P26" s="2">
        <f t="shared" si="2"/>
        <v>52260.065783747857</v>
      </c>
      <c r="Q26" s="2">
        <f t="shared" si="2"/>
        <v>51998.765454829118</v>
      </c>
      <c r="R26" s="2">
        <f t="shared" si="2"/>
        <v>51738.771627554968</v>
      </c>
      <c r="S26" s="2">
        <f t="shared" si="2"/>
        <v>51480.077769417192</v>
      </c>
      <c r="T26" s="2">
        <f t="shared" si="2"/>
        <v>51222.677380570109</v>
      </c>
      <c r="U26" s="2">
        <f t="shared" si="2"/>
        <v>50966.56399366726</v>
      </c>
      <c r="V26" s="2">
        <f t="shared" si="2"/>
        <v>50711.731173698921</v>
      </c>
      <c r="W26" s="2">
        <f t="shared" si="2"/>
        <v>50458.172517830426</v>
      </c>
    </row>
    <row r="28" spans="2:23" x14ac:dyDescent="0.35">
      <c r="B28" s="11" t="s">
        <v>28</v>
      </c>
      <c r="C28" s="12">
        <v>0</v>
      </c>
      <c r="D28" s="12">
        <v>1</v>
      </c>
      <c r="E28" s="12">
        <v>2</v>
      </c>
      <c r="F28" s="12">
        <v>3</v>
      </c>
      <c r="G28" s="12">
        <v>4</v>
      </c>
      <c r="H28" s="12">
        <v>5</v>
      </c>
      <c r="I28" s="12">
        <v>6</v>
      </c>
      <c r="J28" s="12">
        <v>7</v>
      </c>
      <c r="K28" s="12">
        <v>8</v>
      </c>
      <c r="L28" s="12">
        <v>9</v>
      </c>
      <c r="M28" s="12">
        <v>10</v>
      </c>
      <c r="N28" s="12">
        <v>11</v>
      </c>
      <c r="O28" s="12">
        <v>12</v>
      </c>
      <c r="P28" s="12">
        <v>13</v>
      </c>
      <c r="Q28" s="12">
        <v>14</v>
      </c>
      <c r="R28" s="12">
        <v>15</v>
      </c>
      <c r="S28" s="12">
        <v>16</v>
      </c>
      <c r="T28" s="12">
        <v>17</v>
      </c>
      <c r="U28" s="12">
        <v>18</v>
      </c>
      <c r="V28" s="12">
        <v>19</v>
      </c>
      <c r="W28" s="12">
        <v>20</v>
      </c>
    </row>
    <row r="29" spans="2:23" x14ac:dyDescent="0.35">
      <c r="B29" s="13" t="s">
        <v>29</v>
      </c>
      <c r="C29" s="14"/>
      <c r="D29" s="15">
        <f>SUM(D30:D32)</f>
        <v>26264.325000000001</v>
      </c>
      <c r="E29" s="15">
        <f t="shared" ref="E29:W29" si="3">SUM(E30:E32)</f>
        <v>26133.003375</v>
      </c>
      <c r="F29" s="15">
        <f t="shared" si="3"/>
        <v>26002.338358125002</v>
      </c>
      <c r="G29" s="15">
        <f t="shared" si="3"/>
        <v>25872.326666334378</v>
      </c>
      <c r="H29" s="15">
        <f t="shared" si="3"/>
        <v>25742.965033002703</v>
      </c>
      <c r="I29" s="15">
        <f t="shared" si="3"/>
        <v>25614.250207837689</v>
      </c>
      <c r="J29" s="15">
        <f t="shared" si="3"/>
        <v>25486.1789567985</v>
      </c>
      <c r="K29" s="15">
        <f t="shared" si="3"/>
        <v>25358.748062014511</v>
      </c>
      <c r="L29" s="15">
        <f t="shared" si="3"/>
        <v>25231.954321704437</v>
      </c>
      <c r="M29" s="15">
        <f t="shared" si="3"/>
        <v>25105.794550095918</v>
      </c>
      <c r="N29" s="15">
        <f t="shared" si="3"/>
        <v>24980.265577345432</v>
      </c>
      <c r="O29" s="15">
        <f t="shared" si="3"/>
        <v>24855.364249458704</v>
      </c>
      <c r="P29" s="15">
        <f t="shared" si="3"/>
        <v>24731.087428211413</v>
      </c>
      <c r="Q29" s="15">
        <f t="shared" si="3"/>
        <v>24607.431991070353</v>
      </c>
      <c r="R29" s="15">
        <f t="shared" si="3"/>
        <v>24484.394831115005</v>
      </c>
      <c r="S29" s="15">
        <f t="shared" si="3"/>
        <v>24361.972856959426</v>
      </c>
      <c r="T29" s="15">
        <f t="shared" si="3"/>
        <v>24240.162992674632</v>
      </c>
      <c r="U29" s="15">
        <f t="shared" si="3"/>
        <v>24118.962177711259</v>
      </c>
      <c r="V29" s="15">
        <f t="shared" si="3"/>
        <v>23998.367366822702</v>
      </c>
      <c r="W29" s="15">
        <f t="shared" si="3"/>
        <v>23878.375529988585</v>
      </c>
    </row>
    <row r="30" spans="2:23" x14ac:dyDescent="0.35">
      <c r="B30" s="3" t="s">
        <v>30</v>
      </c>
      <c r="D30" s="2">
        <f>D24*$D$13</f>
        <v>15000</v>
      </c>
      <c r="E30" s="2">
        <f t="shared" ref="E30:W30" si="4">E24*$D$13</f>
        <v>14925</v>
      </c>
      <c r="F30" s="2">
        <f t="shared" si="4"/>
        <v>14850.375</v>
      </c>
      <c r="G30" s="2">
        <f t="shared" si="4"/>
        <v>14776.123125000002</v>
      </c>
      <c r="H30" s="2">
        <f t="shared" si="4"/>
        <v>14702.242509375001</v>
      </c>
      <c r="I30" s="2">
        <f t="shared" si="4"/>
        <v>14628.731296828126</v>
      </c>
      <c r="J30" s="2">
        <f t="shared" si="4"/>
        <v>14555.587640343985</v>
      </c>
      <c r="K30" s="2">
        <f t="shared" si="4"/>
        <v>14482.809702142265</v>
      </c>
      <c r="L30" s="2">
        <f t="shared" si="4"/>
        <v>14410.395653631553</v>
      </c>
      <c r="M30" s="2">
        <f t="shared" si="4"/>
        <v>14338.343675363396</v>
      </c>
      <c r="N30" s="2">
        <f t="shared" si="4"/>
        <v>14266.651956986578</v>
      </c>
      <c r="O30" s="2">
        <f t="shared" si="4"/>
        <v>14195.318697201645</v>
      </c>
      <c r="P30" s="2">
        <f t="shared" si="4"/>
        <v>14124.342103715637</v>
      </c>
      <c r="Q30" s="2">
        <f t="shared" si="4"/>
        <v>14053.720393197058</v>
      </c>
      <c r="R30" s="2">
        <f t="shared" si="4"/>
        <v>13983.451791231073</v>
      </c>
      <c r="S30" s="2">
        <f t="shared" si="4"/>
        <v>13913.534532274918</v>
      </c>
      <c r="T30" s="2">
        <f t="shared" si="4"/>
        <v>13843.966859613543</v>
      </c>
      <c r="U30" s="2">
        <f t="shared" si="4"/>
        <v>13774.747025315475</v>
      </c>
      <c r="V30" s="2">
        <f t="shared" si="4"/>
        <v>13705.8732901889</v>
      </c>
      <c r="W30" s="2">
        <f t="shared" si="4"/>
        <v>13637.343923737953</v>
      </c>
    </row>
    <row r="31" spans="2:23" x14ac:dyDescent="0.35">
      <c r="B31" s="3" t="s">
        <v>31</v>
      </c>
      <c r="D31" s="2">
        <f>D25*$D$14*$D$7</f>
        <v>7260</v>
      </c>
      <c r="E31" s="2">
        <f t="shared" ref="E31:W31" si="5">E25*$D$14*$D$7</f>
        <v>7223.7</v>
      </c>
      <c r="F31" s="2">
        <f t="shared" si="5"/>
        <v>7187.5815000000002</v>
      </c>
      <c r="G31" s="2">
        <f t="shared" si="5"/>
        <v>7151.6435925000005</v>
      </c>
      <c r="H31" s="2">
        <f t="shared" si="5"/>
        <v>7115.8853745375</v>
      </c>
      <c r="I31" s="2">
        <f t="shared" si="5"/>
        <v>7080.3059476648123</v>
      </c>
      <c r="J31" s="2">
        <f t="shared" si="5"/>
        <v>7044.9044179264883</v>
      </c>
      <c r="K31" s="2">
        <f t="shared" si="5"/>
        <v>7009.6798958368563</v>
      </c>
      <c r="L31" s="2">
        <f t="shared" si="5"/>
        <v>6974.6314963576715</v>
      </c>
      <c r="M31" s="2">
        <f t="shared" si="5"/>
        <v>6939.758338875884</v>
      </c>
      <c r="N31" s="2">
        <f t="shared" si="5"/>
        <v>6905.0595471815031</v>
      </c>
      <c r="O31" s="2">
        <f t="shared" si="5"/>
        <v>6870.5342494455954</v>
      </c>
      <c r="P31" s="2">
        <f t="shared" si="5"/>
        <v>6836.1815781983687</v>
      </c>
      <c r="Q31" s="2">
        <f t="shared" si="5"/>
        <v>6802.0006703073759</v>
      </c>
      <c r="R31" s="2">
        <f t="shared" si="5"/>
        <v>6767.9906669558395</v>
      </c>
      <c r="S31" s="2">
        <f t="shared" si="5"/>
        <v>6734.1507136210594</v>
      </c>
      <c r="T31" s="2">
        <f t="shared" si="5"/>
        <v>6700.479960052955</v>
      </c>
      <c r="U31" s="2">
        <f t="shared" si="5"/>
        <v>6666.9775602526906</v>
      </c>
      <c r="V31" s="2">
        <f t="shared" si="5"/>
        <v>6633.6426724514267</v>
      </c>
      <c r="W31" s="2">
        <f t="shared" si="5"/>
        <v>6600.4744590891696</v>
      </c>
    </row>
    <row r="32" spans="2:23" x14ac:dyDescent="0.35">
      <c r="B32" s="3" t="s">
        <v>32</v>
      </c>
      <c r="D32" s="2">
        <f>D26*($D$15+$D$16)*$D$8</f>
        <v>4004.3249999999998</v>
      </c>
      <c r="E32" s="2">
        <f t="shared" ref="E32:W32" si="6">E26*($D$15+$D$16)*$D$8</f>
        <v>3984.3033750000004</v>
      </c>
      <c r="F32" s="2">
        <f t="shared" si="6"/>
        <v>3964.3818581249998</v>
      </c>
      <c r="G32" s="2">
        <f t="shared" si="6"/>
        <v>3944.5599488343755</v>
      </c>
      <c r="H32" s="2">
        <f t="shared" si="6"/>
        <v>3924.8371490902032</v>
      </c>
      <c r="I32" s="2">
        <f t="shared" si="6"/>
        <v>3905.2129633447516</v>
      </c>
      <c r="J32" s="2">
        <f t="shared" si="6"/>
        <v>3885.6868985280285</v>
      </c>
      <c r="K32" s="2">
        <f t="shared" si="6"/>
        <v>3866.2584640353884</v>
      </c>
      <c r="L32" s="2">
        <f t="shared" si="6"/>
        <v>3846.9271717152119</v>
      </c>
      <c r="M32" s="2">
        <f t="shared" si="6"/>
        <v>3827.6925358566355</v>
      </c>
      <c r="N32" s="2">
        <f t="shared" si="6"/>
        <v>3808.5540731773517</v>
      </c>
      <c r="O32" s="2">
        <f t="shared" si="6"/>
        <v>3789.5113028114652</v>
      </c>
      <c r="P32" s="2">
        <f t="shared" si="6"/>
        <v>3770.5637462974078</v>
      </c>
      <c r="Q32" s="2">
        <f t="shared" si="6"/>
        <v>3751.7109275659209</v>
      </c>
      <c r="R32" s="2">
        <f t="shared" si="6"/>
        <v>3732.9523729280913</v>
      </c>
      <c r="S32" s="2">
        <f t="shared" si="6"/>
        <v>3714.2876110634506</v>
      </c>
      <c r="T32" s="2">
        <f t="shared" si="6"/>
        <v>3695.7161730081334</v>
      </c>
      <c r="U32" s="2">
        <f t="shared" si="6"/>
        <v>3677.2375921430926</v>
      </c>
      <c r="V32" s="2">
        <f t="shared" si="6"/>
        <v>3658.8514041823773</v>
      </c>
      <c r="W32" s="2">
        <f t="shared" si="6"/>
        <v>3640.5571471614653</v>
      </c>
    </row>
    <row r="33" spans="2:23" x14ac:dyDescent="0.35">
      <c r="B33" s="13" t="s">
        <v>33</v>
      </c>
      <c r="C33" s="14"/>
      <c r="D33" s="15">
        <f>D34</f>
        <v>-3900</v>
      </c>
      <c r="E33" s="15">
        <f t="shared" ref="E33:W33" si="7">E34</f>
        <v>-3900</v>
      </c>
      <c r="F33" s="15">
        <f t="shared" si="7"/>
        <v>-3900</v>
      </c>
      <c r="G33" s="15">
        <f t="shared" si="7"/>
        <v>-3900</v>
      </c>
      <c r="H33" s="15">
        <f t="shared" si="7"/>
        <v>-3900</v>
      </c>
      <c r="I33" s="15">
        <f t="shared" si="7"/>
        <v>-3900</v>
      </c>
      <c r="J33" s="15">
        <f t="shared" si="7"/>
        <v>-3900</v>
      </c>
      <c r="K33" s="15">
        <f t="shared" si="7"/>
        <v>-3900</v>
      </c>
      <c r="L33" s="15">
        <f t="shared" si="7"/>
        <v>-3900</v>
      </c>
      <c r="M33" s="15">
        <f t="shared" si="7"/>
        <v>-3900</v>
      </c>
      <c r="N33" s="15">
        <f t="shared" si="7"/>
        <v>-3900</v>
      </c>
      <c r="O33" s="15">
        <f t="shared" si="7"/>
        <v>-3900</v>
      </c>
      <c r="P33" s="15">
        <f t="shared" si="7"/>
        <v>-3900</v>
      </c>
      <c r="Q33" s="15">
        <f t="shared" si="7"/>
        <v>-3900</v>
      </c>
      <c r="R33" s="15">
        <f t="shared" si="7"/>
        <v>-3900</v>
      </c>
      <c r="S33" s="15">
        <f t="shared" si="7"/>
        <v>-3900</v>
      </c>
      <c r="T33" s="15">
        <f t="shared" si="7"/>
        <v>-3900</v>
      </c>
      <c r="U33" s="15">
        <f t="shared" si="7"/>
        <v>-3900</v>
      </c>
      <c r="V33" s="15">
        <f t="shared" si="7"/>
        <v>-3900</v>
      </c>
      <c r="W33" s="15">
        <f t="shared" si="7"/>
        <v>-3900</v>
      </c>
    </row>
    <row r="34" spans="2:23" x14ac:dyDescent="0.35">
      <c r="B34" s="3" t="s">
        <v>18</v>
      </c>
      <c r="D34" s="2">
        <f>-$D$19*$D$5*$D$18</f>
        <v>-3900</v>
      </c>
      <c r="E34" s="2">
        <f t="shared" ref="E34:W34" si="8">-$D$19*$D$5*$D$18</f>
        <v>-3900</v>
      </c>
      <c r="F34" s="2">
        <f t="shared" si="8"/>
        <v>-3900</v>
      </c>
      <c r="G34" s="2">
        <f t="shared" si="8"/>
        <v>-3900</v>
      </c>
      <c r="H34" s="2">
        <f t="shared" si="8"/>
        <v>-3900</v>
      </c>
      <c r="I34" s="2">
        <f t="shared" si="8"/>
        <v>-3900</v>
      </c>
      <c r="J34" s="2">
        <f t="shared" si="8"/>
        <v>-3900</v>
      </c>
      <c r="K34" s="2">
        <f t="shared" si="8"/>
        <v>-3900</v>
      </c>
      <c r="L34" s="2">
        <f t="shared" si="8"/>
        <v>-3900</v>
      </c>
      <c r="M34" s="2">
        <f t="shared" si="8"/>
        <v>-3900</v>
      </c>
      <c r="N34" s="2">
        <f t="shared" si="8"/>
        <v>-3900</v>
      </c>
      <c r="O34" s="2">
        <f t="shared" si="8"/>
        <v>-3900</v>
      </c>
      <c r="P34" s="2">
        <f t="shared" si="8"/>
        <v>-3900</v>
      </c>
      <c r="Q34" s="2">
        <f t="shared" si="8"/>
        <v>-3900</v>
      </c>
      <c r="R34" s="2">
        <f t="shared" si="8"/>
        <v>-3900</v>
      </c>
      <c r="S34" s="2">
        <f t="shared" si="8"/>
        <v>-3900</v>
      </c>
      <c r="T34" s="2">
        <f t="shared" si="8"/>
        <v>-3900</v>
      </c>
      <c r="U34" s="2">
        <f t="shared" si="8"/>
        <v>-3900</v>
      </c>
      <c r="V34" s="2">
        <f t="shared" si="8"/>
        <v>-3900</v>
      </c>
      <c r="W34" s="2">
        <f t="shared" si="8"/>
        <v>-3900</v>
      </c>
    </row>
    <row r="35" spans="2:23" x14ac:dyDescent="0.35">
      <c r="B35" s="19" t="s">
        <v>36</v>
      </c>
      <c r="C35" s="20"/>
      <c r="D35" s="21">
        <f>D29+D33</f>
        <v>22364.325000000001</v>
      </c>
      <c r="E35" s="21">
        <f t="shared" ref="E35:W35" si="9">E29+E33</f>
        <v>22233.003375</v>
      </c>
      <c r="F35" s="21">
        <f t="shared" si="9"/>
        <v>22102.338358125002</v>
      </c>
      <c r="G35" s="21">
        <f t="shared" si="9"/>
        <v>21972.326666334378</v>
      </c>
      <c r="H35" s="21">
        <f t="shared" si="9"/>
        <v>21842.965033002703</v>
      </c>
      <c r="I35" s="21">
        <f t="shared" si="9"/>
        <v>21714.250207837689</v>
      </c>
      <c r="J35" s="21">
        <f t="shared" si="9"/>
        <v>21586.1789567985</v>
      </c>
      <c r="K35" s="21">
        <f t="shared" si="9"/>
        <v>21458.748062014511</v>
      </c>
      <c r="L35" s="21">
        <f t="shared" si="9"/>
        <v>21331.954321704437</v>
      </c>
      <c r="M35" s="21">
        <f t="shared" si="9"/>
        <v>21205.794550095918</v>
      </c>
      <c r="N35" s="21">
        <f t="shared" si="9"/>
        <v>21080.265577345432</v>
      </c>
      <c r="O35" s="21">
        <f t="shared" si="9"/>
        <v>20955.364249458704</v>
      </c>
      <c r="P35" s="21">
        <f t="shared" si="9"/>
        <v>20831.087428211413</v>
      </c>
      <c r="Q35" s="21">
        <f t="shared" si="9"/>
        <v>20707.431991070353</v>
      </c>
      <c r="R35" s="21">
        <f t="shared" si="9"/>
        <v>20584.394831115005</v>
      </c>
      <c r="S35" s="21">
        <f t="shared" si="9"/>
        <v>20461.972856959426</v>
      </c>
      <c r="T35" s="21">
        <f t="shared" si="9"/>
        <v>20340.162992674632</v>
      </c>
      <c r="U35" s="21">
        <f t="shared" si="9"/>
        <v>20218.962177711259</v>
      </c>
      <c r="V35" s="21">
        <f t="shared" si="9"/>
        <v>20098.367366822702</v>
      </c>
      <c r="W35" s="21">
        <f t="shared" si="9"/>
        <v>19978.375529988585</v>
      </c>
    </row>
    <row r="36" spans="2:23" x14ac:dyDescent="0.35">
      <c r="B36" s="3" t="s">
        <v>37</v>
      </c>
      <c r="D36" s="2">
        <f>-$E$18/$D$9</f>
        <v>-6500</v>
      </c>
      <c r="E36" s="2">
        <f t="shared" ref="E36:W36" si="10">-$E$18/$D$9</f>
        <v>-6500</v>
      </c>
      <c r="F36" s="2">
        <f t="shared" si="10"/>
        <v>-6500</v>
      </c>
      <c r="G36" s="2">
        <f t="shared" si="10"/>
        <v>-6500</v>
      </c>
      <c r="H36" s="2">
        <f t="shared" si="10"/>
        <v>-6500</v>
      </c>
      <c r="I36" s="2">
        <f t="shared" si="10"/>
        <v>-6500</v>
      </c>
      <c r="J36" s="2">
        <f t="shared" si="10"/>
        <v>-6500</v>
      </c>
      <c r="K36" s="2">
        <f t="shared" si="10"/>
        <v>-6500</v>
      </c>
      <c r="L36" s="2">
        <f t="shared" si="10"/>
        <v>-6500</v>
      </c>
      <c r="M36" s="2">
        <f t="shared" si="10"/>
        <v>-6500</v>
      </c>
      <c r="N36" s="2">
        <f t="shared" si="10"/>
        <v>-6500</v>
      </c>
      <c r="O36" s="2">
        <f t="shared" si="10"/>
        <v>-6500</v>
      </c>
      <c r="P36" s="2">
        <f t="shared" si="10"/>
        <v>-6500</v>
      </c>
      <c r="Q36" s="2">
        <f t="shared" si="10"/>
        <v>-6500</v>
      </c>
      <c r="R36" s="2">
        <f t="shared" si="10"/>
        <v>-6500</v>
      </c>
      <c r="S36" s="2">
        <f t="shared" si="10"/>
        <v>-6500</v>
      </c>
      <c r="T36" s="2">
        <f t="shared" si="10"/>
        <v>-6500</v>
      </c>
      <c r="U36" s="2">
        <f t="shared" si="10"/>
        <v>-6500</v>
      </c>
      <c r="V36" s="2">
        <f t="shared" si="10"/>
        <v>-6500</v>
      </c>
      <c r="W36" s="2">
        <f t="shared" si="10"/>
        <v>-6500</v>
      </c>
    </row>
    <row r="37" spans="2:23" x14ac:dyDescent="0.35">
      <c r="B37" s="19" t="s">
        <v>40</v>
      </c>
      <c r="C37" s="20"/>
      <c r="D37" s="21">
        <f>D35+D36</f>
        <v>15864.325000000001</v>
      </c>
      <c r="E37" s="21">
        <f t="shared" ref="E37:W37" si="11">E35+E36</f>
        <v>15733.003375</v>
      </c>
      <c r="F37" s="21">
        <f t="shared" si="11"/>
        <v>15602.338358125002</v>
      </c>
      <c r="G37" s="21">
        <f t="shared" si="11"/>
        <v>15472.326666334378</v>
      </c>
      <c r="H37" s="21">
        <f t="shared" si="11"/>
        <v>15342.965033002703</v>
      </c>
      <c r="I37" s="21">
        <f t="shared" si="11"/>
        <v>15214.250207837689</v>
      </c>
      <c r="J37" s="21">
        <f t="shared" si="11"/>
        <v>15086.1789567985</v>
      </c>
      <c r="K37" s="21">
        <f t="shared" si="11"/>
        <v>14958.748062014511</v>
      </c>
      <c r="L37" s="21">
        <f t="shared" si="11"/>
        <v>14831.954321704437</v>
      </c>
      <c r="M37" s="21">
        <f t="shared" si="11"/>
        <v>14705.794550095918</v>
      </c>
      <c r="N37" s="21">
        <f t="shared" si="11"/>
        <v>14580.265577345432</v>
      </c>
      <c r="O37" s="21">
        <f t="shared" si="11"/>
        <v>14455.364249458704</v>
      </c>
      <c r="P37" s="21">
        <f t="shared" si="11"/>
        <v>14331.087428211413</v>
      </c>
      <c r="Q37" s="21">
        <f t="shared" si="11"/>
        <v>14207.431991070353</v>
      </c>
      <c r="R37" s="21">
        <f t="shared" si="11"/>
        <v>14084.394831115005</v>
      </c>
      <c r="S37" s="21">
        <f t="shared" si="11"/>
        <v>13961.972856959426</v>
      </c>
      <c r="T37" s="21">
        <f t="shared" si="11"/>
        <v>13840.162992674632</v>
      </c>
      <c r="U37" s="21">
        <f t="shared" si="11"/>
        <v>13718.962177711259</v>
      </c>
      <c r="V37" s="21">
        <f t="shared" si="11"/>
        <v>13598.367366822702</v>
      </c>
      <c r="W37" s="21">
        <f t="shared" si="11"/>
        <v>13478.375529988585</v>
      </c>
    </row>
    <row r="38" spans="2:23" x14ac:dyDescent="0.35">
      <c r="B38" s="3" t="s">
        <v>41</v>
      </c>
      <c r="D38" s="2">
        <f>-D37*$D$20+D32*$D$20+D31*$D$20</f>
        <v>-1288</v>
      </c>
      <c r="E38" s="2">
        <f t="shared" ref="E38:W38" si="12">-E37*$D$20+E32*$D$20+E31*$D$20</f>
        <v>-1267.0000000000002</v>
      </c>
      <c r="F38" s="2">
        <f t="shared" si="12"/>
        <v>-1246.1050000000007</v>
      </c>
      <c r="G38" s="2">
        <f t="shared" si="12"/>
        <v>-1225.3144750000006</v>
      </c>
      <c r="H38" s="2">
        <f t="shared" si="12"/>
        <v>-1204.6279026249999</v>
      </c>
      <c r="I38" s="2">
        <f t="shared" si="12"/>
        <v>-1184.0447631118748</v>
      </c>
      <c r="J38" s="2">
        <f t="shared" si="12"/>
        <v>-1163.5645392963156</v>
      </c>
      <c r="K38" s="2">
        <f t="shared" si="12"/>
        <v>-1143.1867165998344</v>
      </c>
      <c r="L38" s="2">
        <f t="shared" si="12"/>
        <v>-1122.9107830168348</v>
      </c>
      <c r="M38" s="2">
        <f t="shared" si="12"/>
        <v>-1102.7362291017514</v>
      </c>
      <c r="N38" s="2">
        <f t="shared" si="12"/>
        <v>-1082.6625479562413</v>
      </c>
      <c r="O38" s="2">
        <f t="shared" si="12"/>
        <v>-1062.6892352164605</v>
      </c>
      <c r="P38" s="2">
        <f t="shared" si="12"/>
        <v>-1042.8157890403784</v>
      </c>
      <c r="Q38" s="2">
        <f t="shared" si="12"/>
        <v>-1023.0417100951759</v>
      </c>
      <c r="R38" s="2">
        <f t="shared" si="12"/>
        <v>-1003.3665015447007</v>
      </c>
      <c r="S38" s="2">
        <f t="shared" si="12"/>
        <v>-983.78966903697665</v>
      </c>
      <c r="T38" s="2">
        <f t="shared" si="12"/>
        <v>-964.31072069179208</v>
      </c>
      <c r="U38" s="2">
        <f t="shared" si="12"/>
        <v>-944.92916708833354</v>
      </c>
      <c r="V38" s="2">
        <f t="shared" si="12"/>
        <v>-925.64452125289154</v>
      </c>
      <c r="W38" s="2">
        <f t="shared" si="12"/>
        <v>-906.45629864662624</v>
      </c>
    </row>
    <row r="39" spans="2:23" x14ac:dyDescent="0.35">
      <c r="B39" s="19" t="s">
        <v>43</v>
      </c>
      <c r="C39" s="20"/>
      <c r="D39" s="21">
        <f>D37+D38</f>
        <v>14576.325000000001</v>
      </c>
      <c r="E39" s="21">
        <f t="shared" ref="E39:W39" si="13">E37+E38</f>
        <v>14466.003375</v>
      </c>
      <c r="F39" s="21">
        <f t="shared" si="13"/>
        <v>14356.233358125</v>
      </c>
      <c r="G39" s="21">
        <f t="shared" si="13"/>
        <v>14247.012191334377</v>
      </c>
      <c r="H39" s="21">
        <f t="shared" si="13"/>
        <v>14138.337130377704</v>
      </c>
      <c r="I39" s="21">
        <f t="shared" si="13"/>
        <v>14030.205444725814</v>
      </c>
      <c r="J39" s="21">
        <f t="shared" si="13"/>
        <v>13922.614417502184</v>
      </c>
      <c r="K39" s="21">
        <f t="shared" si="13"/>
        <v>13815.561345414677</v>
      </c>
      <c r="L39" s="21">
        <f t="shared" si="13"/>
        <v>13709.043538687603</v>
      </c>
      <c r="M39" s="21">
        <f t="shared" si="13"/>
        <v>13603.058320994167</v>
      </c>
      <c r="N39" s="21">
        <f t="shared" si="13"/>
        <v>13497.603029389191</v>
      </c>
      <c r="O39" s="21">
        <f t="shared" si="13"/>
        <v>13392.675014242242</v>
      </c>
      <c r="P39" s="21">
        <f t="shared" si="13"/>
        <v>13288.271639171035</v>
      </c>
      <c r="Q39" s="21">
        <f t="shared" si="13"/>
        <v>13184.390280975176</v>
      </c>
      <c r="R39" s="21">
        <f t="shared" si="13"/>
        <v>13081.028329570305</v>
      </c>
      <c r="S39" s="21">
        <f t="shared" si="13"/>
        <v>12978.18318792245</v>
      </c>
      <c r="T39" s="21">
        <f t="shared" si="13"/>
        <v>12875.85227198284</v>
      </c>
      <c r="U39" s="21">
        <f t="shared" si="13"/>
        <v>12774.033010622925</v>
      </c>
      <c r="V39" s="21">
        <f t="shared" si="13"/>
        <v>12672.72284556981</v>
      </c>
      <c r="W39" s="21">
        <f t="shared" si="13"/>
        <v>12571.919231341959</v>
      </c>
    </row>
    <row r="40" spans="2:23" x14ac:dyDescent="0.35">
      <c r="D40" s="16">
        <f>D39/D29</f>
        <v>0.55498570779945799</v>
      </c>
      <c r="E40" s="16">
        <f t="shared" ref="E40:W40" si="14">E39/E29</f>
        <v>0.55355303664938971</v>
      </c>
      <c r="F40" s="16">
        <f t="shared" si="14"/>
        <v>0.5521131661468085</v>
      </c>
      <c r="G40" s="16">
        <f t="shared" si="14"/>
        <v>0.5506660601140636</v>
      </c>
      <c r="H40" s="16">
        <f t="shared" si="14"/>
        <v>0.54921168219170691</v>
      </c>
      <c r="I40" s="16">
        <f t="shared" si="14"/>
        <v>0.54774999583757955</v>
      </c>
      <c r="J40" s="16">
        <f t="shared" si="14"/>
        <v>0.54628096432589368</v>
      </c>
      <c r="K40" s="16">
        <f t="shared" si="14"/>
        <v>0.54480455074631007</v>
      </c>
      <c r="L40" s="16">
        <f t="shared" si="14"/>
        <v>0.54332071800300985</v>
      </c>
      <c r="M40" s="16">
        <f t="shared" si="14"/>
        <v>0.5418294288137635</v>
      </c>
      <c r="N40" s="16">
        <f t="shared" si="14"/>
        <v>0.54033064570899314</v>
      </c>
      <c r="O40" s="16">
        <f t="shared" si="14"/>
        <v>0.53882433103083194</v>
      </c>
      <c r="P40" s="16">
        <f t="shared" si="14"/>
        <v>0.53731044693217767</v>
      </c>
      <c r="Q40" s="16">
        <f t="shared" si="14"/>
        <v>0.53578895537574112</v>
      </c>
      <c r="R40" s="16">
        <f t="shared" si="14"/>
        <v>0.53425981813309131</v>
      </c>
      <c r="S40" s="16">
        <f t="shared" si="14"/>
        <v>0.5327229967836945</v>
      </c>
      <c r="T40" s="16">
        <f t="shared" si="14"/>
        <v>0.53117845271394903</v>
      </c>
      <c r="U40" s="16">
        <f t="shared" si="14"/>
        <v>0.52962614711621481</v>
      </c>
      <c r="V40" s="16">
        <f t="shared" si="14"/>
        <v>0.52806604098783883</v>
      </c>
      <c r="W40" s="16">
        <f t="shared" si="14"/>
        <v>0.52649809513017443</v>
      </c>
    </row>
    <row r="42" spans="2:23" x14ac:dyDescent="0.35">
      <c r="B42" s="11" t="s">
        <v>46</v>
      </c>
      <c r="C42" s="12">
        <v>0</v>
      </c>
      <c r="D42" s="12">
        <v>1</v>
      </c>
      <c r="E42" s="12">
        <v>2</v>
      </c>
      <c r="F42" s="12">
        <v>3</v>
      </c>
      <c r="G42" s="12">
        <v>4</v>
      </c>
      <c r="H42" s="12">
        <v>5</v>
      </c>
      <c r="I42" s="12">
        <v>6</v>
      </c>
      <c r="J42" s="12">
        <v>7</v>
      </c>
      <c r="K42" s="12">
        <v>8</v>
      </c>
      <c r="L42" s="12">
        <v>9</v>
      </c>
      <c r="M42" s="12">
        <v>10</v>
      </c>
      <c r="N42" s="12">
        <v>11</v>
      </c>
      <c r="O42" s="12">
        <v>12</v>
      </c>
      <c r="P42" s="12">
        <v>13</v>
      </c>
      <c r="Q42" s="12">
        <v>14</v>
      </c>
      <c r="R42" s="12">
        <v>15</v>
      </c>
      <c r="S42" s="12">
        <v>16</v>
      </c>
      <c r="T42" s="12">
        <v>17</v>
      </c>
      <c r="U42" s="12">
        <v>18</v>
      </c>
      <c r="V42" s="12">
        <v>19</v>
      </c>
      <c r="W42" s="12">
        <v>20</v>
      </c>
    </row>
    <row r="43" spans="2:23" x14ac:dyDescent="0.35">
      <c r="B43" s="3" t="s">
        <v>36</v>
      </c>
      <c r="D43" s="2">
        <f>D35</f>
        <v>22364.325000000001</v>
      </c>
      <c r="E43" s="2">
        <f t="shared" ref="E43:W43" si="15">E35</f>
        <v>22233.003375</v>
      </c>
      <c r="F43" s="2">
        <f t="shared" si="15"/>
        <v>22102.338358125002</v>
      </c>
      <c r="G43" s="2">
        <f t="shared" si="15"/>
        <v>21972.326666334378</v>
      </c>
      <c r="H43" s="2">
        <f t="shared" si="15"/>
        <v>21842.965033002703</v>
      </c>
      <c r="I43" s="2">
        <f t="shared" si="15"/>
        <v>21714.250207837689</v>
      </c>
      <c r="J43" s="2">
        <f t="shared" si="15"/>
        <v>21586.1789567985</v>
      </c>
      <c r="K43" s="2">
        <f t="shared" si="15"/>
        <v>21458.748062014511</v>
      </c>
      <c r="L43" s="2">
        <f t="shared" si="15"/>
        <v>21331.954321704437</v>
      </c>
      <c r="M43" s="2">
        <f t="shared" si="15"/>
        <v>21205.794550095918</v>
      </c>
      <c r="N43" s="2">
        <f t="shared" si="15"/>
        <v>21080.265577345432</v>
      </c>
      <c r="O43" s="2">
        <f t="shared" si="15"/>
        <v>20955.364249458704</v>
      </c>
      <c r="P43" s="2">
        <f t="shared" si="15"/>
        <v>20831.087428211413</v>
      </c>
      <c r="Q43" s="2">
        <f t="shared" si="15"/>
        <v>20707.431991070353</v>
      </c>
      <c r="R43" s="2">
        <f t="shared" si="15"/>
        <v>20584.394831115005</v>
      </c>
      <c r="S43" s="2">
        <f t="shared" si="15"/>
        <v>20461.972856959426</v>
      </c>
      <c r="T43" s="2">
        <f t="shared" si="15"/>
        <v>20340.162992674632</v>
      </c>
      <c r="U43" s="2">
        <f t="shared" si="15"/>
        <v>20218.962177711259</v>
      </c>
      <c r="V43" s="2">
        <f t="shared" si="15"/>
        <v>20098.367366822702</v>
      </c>
      <c r="W43" s="2">
        <f t="shared" si="15"/>
        <v>19978.375529988585</v>
      </c>
    </row>
    <row r="44" spans="2:23" x14ac:dyDescent="0.35">
      <c r="B44" s="3" t="s">
        <v>41</v>
      </c>
      <c r="D44" s="2">
        <f>D38</f>
        <v>-1288</v>
      </c>
      <c r="E44" s="2">
        <f t="shared" ref="E44:W44" si="16">E38</f>
        <v>-1267.0000000000002</v>
      </c>
      <c r="F44" s="2">
        <f t="shared" si="16"/>
        <v>-1246.1050000000007</v>
      </c>
      <c r="G44" s="2">
        <f t="shared" si="16"/>
        <v>-1225.3144750000006</v>
      </c>
      <c r="H44" s="2">
        <f t="shared" si="16"/>
        <v>-1204.6279026249999</v>
      </c>
      <c r="I44" s="2">
        <f t="shared" si="16"/>
        <v>-1184.0447631118748</v>
      </c>
      <c r="J44" s="2">
        <f t="shared" si="16"/>
        <v>-1163.5645392963156</v>
      </c>
      <c r="K44" s="2">
        <f t="shared" si="16"/>
        <v>-1143.1867165998344</v>
      </c>
      <c r="L44" s="2">
        <f t="shared" si="16"/>
        <v>-1122.9107830168348</v>
      </c>
      <c r="M44" s="2">
        <f t="shared" si="16"/>
        <v>-1102.7362291017514</v>
      </c>
      <c r="N44" s="2">
        <f t="shared" si="16"/>
        <v>-1082.6625479562413</v>
      </c>
      <c r="O44" s="2">
        <f t="shared" si="16"/>
        <v>-1062.6892352164605</v>
      </c>
      <c r="P44" s="2">
        <f t="shared" si="16"/>
        <v>-1042.8157890403784</v>
      </c>
      <c r="Q44" s="2">
        <f t="shared" si="16"/>
        <v>-1023.0417100951759</v>
      </c>
      <c r="R44" s="2">
        <f t="shared" si="16"/>
        <v>-1003.3665015447007</v>
      </c>
      <c r="S44" s="2">
        <f t="shared" si="16"/>
        <v>-983.78966903697665</v>
      </c>
      <c r="T44" s="2">
        <f t="shared" si="16"/>
        <v>-964.31072069179208</v>
      </c>
      <c r="U44" s="2">
        <f t="shared" si="16"/>
        <v>-944.92916708833354</v>
      </c>
      <c r="V44" s="2">
        <f t="shared" si="16"/>
        <v>-925.64452125289154</v>
      </c>
      <c r="W44" s="2">
        <f t="shared" si="16"/>
        <v>-906.45629864662624</v>
      </c>
    </row>
    <row r="45" spans="2:23" x14ac:dyDescent="0.35">
      <c r="B45" s="3" t="s">
        <v>45</v>
      </c>
      <c r="C45" s="2">
        <f>-E18</f>
        <v>-130000</v>
      </c>
    </row>
    <row r="46" spans="2:23" x14ac:dyDescent="0.35">
      <c r="B46" s="19" t="s">
        <v>44</v>
      </c>
      <c r="C46" s="21">
        <f t="shared" ref="C46" si="17">SUM(C43:C45)</f>
        <v>-130000</v>
      </c>
      <c r="D46" s="21">
        <f>SUM(D43:D45)</f>
        <v>21076.325000000001</v>
      </c>
      <c r="E46" s="21">
        <f t="shared" ref="E46:W46" si="18">SUM(E43:E45)</f>
        <v>20966.003375</v>
      </c>
      <c r="F46" s="21">
        <f t="shared" si="18"/>
        <v>20856.233358125002</v>
      </c>
      <c r="G46" s="21">
        <f t="shared" si="18"/>
        <v>20747.012191334379</v>
      </c>
      <c r="H46" s="21">
        <f t="shared" si="18"/>
        <v>20638.337130377702</v>
      </c>
      <c r="I46" s="21">
        <f t="shared" si="18"/>
        <v>20530.205444725816</v>
      </c>
      <c r="J46" s="21">
        <f t="shared" si="18"/>
        <v>20422.614417502184</v>
      </c>
      <c r="K46" s="21">
        <f t="shared" si="18"/>
        <v>20315.561345414677</v>
      </c>
      <c r="L46" s="21">
        <f t="shared" si="18"/>
        <v>20209.043538687602</v>
      </c>
      <c r="M46" s="21">
        <f t="shared" si="18"/>
        <v>20103.058320994165</v>
      </c>
      <c r="N46" s="21">
        <f t="shared" si="18"/>
        <v>19997.603029389189</v>
      </c>
      <c r="O46" s="21">
        <f t="shared" si="18"/>
        <v>19892.675014242242</v>
      </c>
      <c r="P46" s="21">
        <f t="shared" si="18"/>
        <v>19788.271639171035</v>
      </c>
      <c r="Q46" s="21">
        <f t="shared" si="18"/>
        <v>19684.390280975178</v>
      </c>
      <c r="R46" s="21">
        <f t="shared" si="18"/>
        <v>19581.028329570305</v>
      </c>
      <c r="S46" s="21">
        <f t="shared" si="18"/>
        <v>19478.183187922448</v>
      </c>
      <c r="T46" s="21">
        <f t="shared" si="18"/>
        <v>19375.85227198284</v>
      </c>
      <c r="U46" s="21">
        <f t="shared" si="18"/>
        <v>19274.033010622927</v>
      </c>
      <c r="V46" s="21">
        <f t="shared" si="18"/>
        <v>19172.72284556981</v>
      </c>
      <c r="W46" s="21">
        <f t="shared" si="18"/>
        <v>19071.919231341959</v>
      </c>
    </row>
    <row r="47" spans="2:23" x14ac:dyDescent="0.35">
      <c r="C47" s="2">
        <f t="shared" ref="C47" si="19">C46</f>
        <v>-130000</v>
      </c>
      <c r="D47" s="2">
        <f t="shared" ref="D47" si="20">C47+D46</f>
        <v>-108923.675</v>
      </c>
      <c r="E47" s="2">
        <f t="shared" ref="E47" si="21">D47+E46</f>
        <v>-87957.671625000003</v>
      </c>
      <c r="F47" s="2">
        <f t="shared" ref="F47" si="22">E47+F46</f>
        <v>-67101.438266875004</v>
      </c>
      <c r="G47" s="2">
        <f t="shared" ref="G47" si="23">F47+G46</f>
        <v>-46354.426075540629</v>
      </c>
      <c r="H47" s="2">
        <f t="shared" ref="H47" si="24">G47+H46</f>
        <v>-25716.088945162926</v>
      </c>
      <c r="I47" s="2">
        <f t="shared" ref="I47" si="25">H47+I46</f>
        <v>-5185.8835004371103</v>
      </c>
      <c r="J47" s="2">
        <f t="shared" ref="J47" si="26">I47+J46</f>
        <v>15236.730917065073</v>
      </c>
      <c r="K47" s="2">
        <f t="shared" ref="K47" si="27">J47+K46</f>
        <v>35552.29226247975</v>
      </c>
      <c r="L47" s="2">
        <f t="shared" ref="L47" si="28">K47+L46</f>
        <v>55761.335801167355</v>
      </c>
      <c r="M47" s="2">
        <f t="shared" ref="M47" si="29">L47+M46</f>
        <v>75864.394122161524</v>
      </c>
      <c r="N47" s="2">
        <f t="shared" ref="N47" si="30">M47+N46</f>
        <v>95861.99715155072</v>
      </c>
      <c r="O47" s="2">
        <f t="shared" ref="O47" si="31">N47+O46</f>
        <v>115754.67216579296</v>
      </c>
      <c r="P47" s="2">
        <f t="shared" ref="P47" si="32">O47+P46</f>
        <v>135542.94380496399</v>
      </c>
      <c r="Q47" s="2">
        <f t="shared" ref="Q47" si="33">P47+Q46</f>
        <v>155227.33408593916</v>
      </c>
      <c r="R47" s="2">
        <f t="shared" ref="R47" si="34">Q47+R46</f>
        <v>174808.36241550947</v>
      </c>
      <c r="S47" s="2">
        <f t="shared" ref="S47" si="35">R47+S46</f>
        <v>194286.54560343194</v>
      </c>
      <c r="T47" s="2">
        <f t="shared" ref="T47" si="36">S47+T46</f>
        <v>213662.39787541478</v>
      </c>
      <c r="U47" s="2">
        <f t="shared" ref="U47" si="37">T47+U46</f>
        <v>232936.43088603771</v>
      </c>
      <c r="V47" s="2">
        <f t="shared" ref="V47" si="38">U47+V46</f>
        <v>252109.15373160751</v>
      </c>
      <c r="W47" s="2">
        <f t="shared" ref="W47" si="39">V47+W46</f>
        <v>271181.07296294946</v>
      </c>
    </row>
    <row r="49" spans="2:3" x14ac:dyDescent="0.35">
      <c r="B49" s="1" t="s">
        <v>47</v>
      </c>
      <c r="C49" s="25">
        <f>E18/D46</f>
        <v>6.1680582359590677</v>
      </c>
    </row>
    <row r="50" spans="2:3" x14ac:dyDescent="0.35">
      <c r="B50" s="1" t="s">
        <v>48</v>
      </c>
      <c r="C50" s="23">
        <f>IRR(C46:W46)</f>
        <v>0.14758489941297626</v>
      </c>
    </row>
    <row r="51" spans="2:3" x14ac:dyDescent="0.35">
      <c r="B51" s="1"/>
    </row>
  </sheetData>
  <pageMargins left="0.7" right="0.7" top="0.75" bottom="0.75" header="0.3" footer="0.3"/>
  <pageSetup paperSize="9" orientation="portrait" r:id="rId1"/>
  <ignoredErrors>
    <ignoredError sqref="D38:W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2"/>
  <sheetViews>
    <sheetView showGridLines="0" tabSelected="1" zoomScale="80" zoomScaleNormal="80" workbookViewId="0">
      <selection activeCell="H15" sqref="H15"/>
    </sheetView>
  </sheetViews>
  <sheetFormatPr defaultRowHeight="14.5" x14ac:dyDescent="0.35"/>
  <sheetData>
    <row r="2" spans="2:2" ht="23.5" x14ac:dyDescent="0.55000000000000004">
      <c r="B2" s="87" t="s">
        <v>139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2:W60"/>
  <sheetViews>
    <sheetView showGridLines="0" topLeftCell="A20" zoomScale="90" zoomScaleNormal="90" workbookViewId="0">
      <selection activeCell="C54" sqref="C54:C55"/>
    </sheetView>
  </sheetViews>
  <sheetFormatPr defaultColWidth="8.90625" defaultRowHeight="11.5" x14ac:dyDescent="0.25"/>
  <cols>
    <col min="1" max="1" width="8.90625" style="29"/>
    <col min="2" max="2" width="40.81640625" style="29" customWidth="1"/>
    <col min="3" max="3" width="12.08984375" style="28" bestFit="1" customWidth="1"/>
    <col min="4" max="4" width="7.81640625" style="29" bestFit="1" customWidth="1"/>
    <col min="5" max="6" width="8.90625" style="29"/>
    <col min="7" max="7" width="8.90625" style="29" customWidth="1"/>
    <col min="8" max="8" width="8.90625" style="28" customWidth="1"/>
    <col min="9" max="10" width="8.90625" style="29" customWidth="1"/>
    <col min="11" max="11" width="8.90625" style="29"/>
    <col min="12" max="12" width="8.90625" style="29" customWidth="1"/>
    <col min="13" max="16384" width="8.90625" style="29"/>
  </cols>
  <sheetData>
    <row r="2" spans="2:12" x14ac:dyDescent="0.25">
      <c r="B2" s="84" t="s">
        <v>133</v>
      </c>
      <c r="H2" s="86" t="s">
        <v>135</v>
      </c>
    </row>
    <row r="4" spans="2:12" x14ac:dyDescent="0.25">
      <c r="B4" s="27" t="s">
        <v>0</v>
      </c>
      <c r="G4" s="27"/>
    </row>
    <row r="6" spans="2:12" x14ac:dyDescent="0.25">
      <c r="B6" s="30" t="s">
        <v>1</v>
      </c>
      <c r="C6" s="31" t="s">
        <v>4</v>
      </c>
      <c r="D6" s="31" t="s">
        <v>11</v>
      </c>
      <c r="G6" s="30"/>
      <c r="H6" s="31"/>
      <c r="I6" s="27"/>
      <c r="J6" s="27"/>
    </row>
    <row r="7" spans="2:12" x14ac:dyDescent="0.25">
      <c r="B7" s="32" t="s">
        <v>10</v>
      </c>
      <c r="C7" s="28" t="s">
        <v>5</v>
      </c>
      <c r="D7" s="33">
        <v>200</v>
      </c>
      <c r="G7" s="32"/>
      <c r="I7" s="27"/>
      <c r="J7" s="35"/>
      <c r="L7" s="36"/>
    </row>
    <row r="8" spans="2:12" x14ac:dyDescent="0.25">
      <c r="B8" s="32" t="s">
        <v>9</v>
      </c>
      <c r="C8" s="28" t="s">
        <v>6</v>
      </c>
      <c r="D8" s="33">
        <v>1200</v>
      </c>
      <c r="G8" s="32"/>
    </row>
    <row r="9" spans="2:12" x14ac:dyDescent="0.25">
      <c r="B9" s="32" t="s">
        <v>131</v>
      </c>
      <c r="C9" s="28" t="s">
        <v>11</v>
      </c>
      <c r="D9" s="85">
        <v>180</v>
      </c>
      <c r="G9" s="32"/>
    </row>
    <row r="10" spans="2:12" x14ac:dyDescent="0.25">
      <c r="B10" s="32" t="s">
        <v>35</v>
      </c>
      <c r="C10" s="28" t="s">
        <v>7</v>
      </c>
      <c r="D10" s="37">
        <v>0</v>
      </c>
      <c r="G10" s="32"/>
      <c r="L10" s="38"/>
    </row>
    <row r="11" spans="2:12" x14ac:dyDescent="0.25">
      <c r="B11" s="32" t="s">
        <v>8</v>
      </c>
      <c r="C11" s="28" t="s">
        <v>7</v>
      </c>
      <c r="D11" s="37">
        <v>0.75</v>
      </c>
      <c r="G11" s="32"/>
      <c r="L11" s="39"/>
    </row>
    <row r="12" spans="2:12" x14ac:dyDescent="0.25">
      <c r="B12" s="32" t="s">
        <v>38</v>
      </c>
      <c r="C12" s="28" t="s">
        <v>39</v>
      </c>
      <c r="D12" s="40">
        <v>20</v>
      </c>
      <c r="G12" s="32"/>
      <c r="L12" s="39"/>
    </row>
    <row r="13" spans="2:12" x14ac:dyDescent="0.25">
      <c r="B13" s="32" t="s">
        <v>49</v>
      </c>
      <c r="D13" s="41">
        <v>-4.0000000000000001E-3</v>
      </c>
      <c r="G13" s="32"/>
      <c r="L13" s="39"/>
    </row>
    <row r="15" spans="2:12" x14ac:dyDescent="0.25">
      <c r="B15" s="30" t="s">
        <v>3</v>
      </c>
      <c r="G15" s="30"/>
    </row>
    <row r="16" spans="2:12" x14ac:dyDescent="0.25">
      <c r="B16" s="32" t="s">
        <v>13</v>
      </c>
      <c r="C16" s="28" t="s">
        <v>12</v>
      </c>
      <c r="D16" s="42">
        <v>9.6000000000000002E-2</v>
      </c>
      <c r="G16" s="32"/>
    </row>
    <row r="17" spans="1:23" x14ac:dyDescent="0.25">
      <c r="B17" s="32" t="s">
        <v>14</v>
      </c>
      <c r="C17" s="28" t="s">
        <v>12</v>
      </c>
      <c r="D17" s="42">
        <f>D16+0.15</f>
        <v>0.246</v>
      </c>
      <c r="G17" s="32"/>
    </row>
    <row r="18" spans="1:23" x14ac:dyDescent="0.25">
      <c r="B18" s="32" t="s">
        <v>15</v>
      </c>
      <c r="C18" s="28" t="s">
        <v>12</v>
      </c>
      <c r="D18" s="42">
        <v>0.11</v>
      </c>
      <c r="G18" s="32"/>
    </row>
    <row r="19" spans="1:23" x14ac:dyDescent="0.25">
      <c r="B19" s="32" t="s">
        <v>19</v>
      </c>
      <c r="C19" s="28" t="s">
        <v>12</v>
      </c>
      <c r="D19" s="42">
        <v>8.5000000000000006E-3</v>
      </c>
      <c r="G19" s="32"/>
    </row>
    <row r="21" spans="1:23" x14ac:dyDescent="0.25">
      <c r="B21" s="32" t="s">
        <v>16</v>
      </c>
      <c r="C21" s="28" t="s">
        <v>17</v>
      </c>
      <c r="D21" s="33">
        <v>1200</v>
      </c>
      <c r="E21" s="35">
        <f>D21*D7</f>
        <v>240000</v>
      </c>
    </row>
    <row r="22" spans="1:23" x14ac:dyDescent="0.25">
      <c r="B22" s="32" t="s">
        <v>18</v>
      </c>
      <c r="C22" s="28" t="s">
        <v>20</v>
      </c>
      <c r="D22" s="44">
        <v>3.5000000000000003E-2</v>
      </c>
    </row>
    <row r="23" spans="1:23" x14ac:dyDescent="0.25">
      <c r="B23" s="32" t="s">
        <v>42</v>
      </c>
      <c r="C23" s="28" t="s">
        <v>7</v>
      </c>
      <c r="D23" s="37">
        <v>0.28000000000000003</v>
      </c>
    </row>
    <row r="24" spans="1:23" x14ac:dyDescent="0.25">
      <c r="B24" s="32"/>
    </row>
    <row r="26" spans="1:23" x14ac:dyDescent="0.25">
      <c r="B26" s="54" t="s">
        <v>66</v>
      </c>
      <c r="C26" s="55">
        <v>0</v>
      </c>
      <c r="D26" s="55">
        <v>1</v>
      </c>
      <c r="E26" s="55">
        <v>2</v>
      </c>
      <c r="F26" s="55">
        <v>3</v>
      </c>
      <c r="G26" s="55">
        <v>4</v>
      </c>
      <c r="H26" s="55">
        <v>5</v>
      </c>
      <c r="I26" s="55">
        <v>6</v>
      </c>
      <c r="J26" s="55">
        <v>7</v>
      </c>
      <c r="K26" s="55">
        <v>8</v>
      </c>
      <c r="L26" s="55">
        <v>9</v>
      </c>
      <c r="M26" s="55">
        <v>10</v>
      </c>
      <c r="N26" s="55">
        <v>11</v>
      </c>
      <c r="O26" s="55">
        <v>12</v>
      </c>
      <c r="P26" s="55">
        <v>13</v>
      </c>
      <c r="Q26" s="55">
        <v>14</v>
      </c>
      <c r="R26" s="55">
        <v>15</v>
      </c>
      <c r="S26" s="55">
        <v>16</v>
      </c>
      <c r="T26" s="55">
        <v>17</v>
      </c>
      <c r="U26" s="55">
        <v>18</v>
      </c>
      <c r="V26" s="55">
        <v>19</v>
      </c>
      <c r="W26" s="55">
        <v>20</v>
      </c>
    </row>
    <row r="27" spans="1:23" x14ac:dyDescent="0.25">
      <c r="A27" s="35">
        <f>AVERAGE(D27:W27)</f>
        <v>231095.20619579073</v>
      </c>
      <c r="B27" s="29" t="s">
        <v>25</v>
      </c>
      <c r="D27" s="35">
        <f>$D$7*$D$8</f>
        <v>240000</v>
      </c>
      <c r="E27" s="35">
        <f>D27*(1+$D$13)</f>
        <v>239040</v>
      </c>
      <c r="F27" s="35">
        <f t="shared" ref="F27:W27" si="0">E27*(1+$D$13)</f>
        <v>238083.84</v>
      </c>
      <c r="G27" s="35">
        <f t="shared" si="0"/>
        <v>237131.50464</v>
      </c>
      <c r="H27" s="35">
        <f t="shared" si="0"/>
        <v>236182.97862144001</v>
      </c>
      <c r="I27" s="35">
        <f t="shared" si="0"/>
        <v>235238.24670695426</v>
      </c>
      <c r="J27" s="35">
        <f t="shared" si="0"/>
        <v>234297.29372012644</v>
      </c>
      <c r="K27" s="35">
        <f t="shared" si="0"/>
        <v>233360.10454524594</v>
      </c>
      <c r="L27" s="35">
        <f t="shared" si="0"/>
        <v>232426.66412706496</v>
      </c>
      <c r="M27" s="35">
        <f t="shared" si="0"/>
        <v>231496.95747055669</v>
      </c>
      <c r="N27" s="35">
        <f t="shared" si="0"/>
        <v>230570.96964067448</v>
      </c>
      <c r="O27" s="35">
        <f t="shared" si="0"/>
        <v>229648.68576211177</v>
      </c>
      <c r="P27" s="35">
        <f t="shared" si="0"/>
        <v>228730.09101906331</v>
      </c>
      <c r="Q27" s="35">
        <f t="shared" si="0"/>
        <v>227815.17065498707</v>
      </c>
      <c r="R27" s="35">
        <f t="shared" si="0"/>
        <v>226903.90997236711</v>
      </c>
      <c r="S27" s="35">
        <f t="shared" si="0"/>
        <v>225996.29433247764</v>
      </c>
      <c r="T27" s="35">
        <f t="shared" si="0"/>
        <v>225092.30915514773</v>
      </c>
      <c r="U27" s="35">
        <f t="shared" si="0"/>
        <v>224191.93991852715</v>
      </c>
      <c r="V27" s="35">
        <f t="shared" si="0"/>
        <v>223295.17215885303</v>
      </c>
      <c r="W27" s="35">
        <f t="shared" si="0"/>
        <v>222401.99147021762</v>
      </c>
    </row>
    <row r="28" spans="1:23" x14ac:dyDescent="0.25">
      <c r="B28" s="29" t="s">
        <v>26</v>
      </c>
      <c r="D28" s="35">
        <f>$D$10*D27</f>
        <v>0</v>
      </c>
      <c r="E28" s="35">
        <f t="shared" ref="E28:W28" si="1">$D$10*E27</f>
        <v>0</v>
      </c>
      <c r="F28" s="35">
        <f t="shared" si="1"/>
        <v>0</v>
      </c>
      <c r="G28" s="35">
        <f t="shared" si="1"/>
        <v>0</v>
      </c>
      <c r="H28" s="35">
        <f t="shared" si="1"/>
        <v>0</v>
      </c>
      <c r="I28" s="35">
        <f t="shared" si="1"/>
        <v>0</v>
      </c>
      <c r="J28" s="35">
        <f t="shared" si="1"/>
        <v>0</v>
      </c>
      <c r="K28" s="35">
        <f t="shared" si="1"/>
        <v>0</v>
      </c>
      <c r="L28" s="35">
        <f t="shared" si="1"/>
        <v>0</v>
      </c>
      <c r="M28" s="35">
        <f t="shared" si="1"/>
        <v>0</v>
      </c>
      <c r="N28" s="35">
        <f t="shared" si="1"/>
        <v>0</v>
      </c>
      <c r="O28" s="35">
        <f t="shared" si="1"/>
        <v>0</v>
      </c>
      <c r="P28" s="35">
        <f t="shared" si="1"/>
        <v>0</v>
      </c>
      <c r="Q28" s="35">
        <f t="shared" si="1"/>
        <v>0</v>
      </c>
      <c r="R28" s="35">
        <f t="shared" si="1"/>
        <v>0</v>
      </c>
      <c r="S28" s="35">
        <f t="shared" si="1"/>
        <v>0</v>
      </c>
      <c r="T28" s="35">
        <f t="shared" si="1"/>
        <v>0</v>
      </c>
      <c r="U28" s="35">
        <f t="shared" si="1"/>
        <v>0</v>
      </c>
      <c r="V28" s="35">
        <f t="shared" si="1"/>
        <v>0</v>
      </c>
      <c r="W28" s="35">
        <f t="shared" si="1"/>
        <v>0</v>
      </c>
    </row>
    <row r="29" spans="1:23" x14ac:dyDescent="0.25">
      <c r="A29" s="35">
        <f>AVERAGE(D29:W29)</f>
        <v>173321.40464684309</v>
      </c>
      <c r="B29" s="29" t="s">
        <v>27</v>
      </c>
      <c r="D29" s="35">
        <f>$D$11*D27</f>
        <v>180000</v>
      </c>
      <c r="E29" s="35">
        <f t="shared" ref="E29:W29" si="2">$D$11*E27</f>
        <v>179280</v>
      </c>
      <c r="F29" s="35">
        <f t="shared" si="2"/>
        <v>178562.88</v>
      </c>
      <c r="G29" s="35">
        <f t="shared" si="2"/>
        <v>177848.62848000001</v>
      </c>
      <c r="H29" s="35">
        <f t="shared" si="2"/>
        <v>177137.23396608001</v>
      </c>
      <c r="I29" s="35">
        <f t="shared" si="2"/>
        <v>176428.68503021571</v>
      </c>
      <c r="J29" s="35">
        <f t="shared" si="2"/>
        <v>175722.97029009485</v>
      </c>
      <c r="K29" s="35">
        <f t="shared" si="2"/>
        <v>175020.07840893447</v>
      </c>
      <c r="L29" s="35">
        <f t="shared" si="2"/>
        <v>174319.99809529871</v>
      </c>
      <c r="M29" s="35">
        <f t="shared" si="2"/>
        <v>173622.71810291751</v>
      </c>
      <c r="N29" s="35">
        <f t="shared" si="2"/>
        <v>172928.22723050584</v>
      </c>
      <c r="O29" s="35">
        <f t="shared" si="2"/>
        <v>172236.51432158382</v>
      </c>
      <c r="P29" s="35">
        <f t="shared" si="2"/>
        <v>171547.5682642975</v>
      </c>
      <c r="Q29" s="35">
        <f t="shared" si="2"/>
        <v>170861.3779912403</v>
      </c>
      <c r="R29" s="35">
        <f t="shared" si="2"/>
        <v>170177.93247927533</v>
      </c>
      <c r="S29" s="35">
        <f t="shared" si="2"/>
        <v>169497.22074935824</v>
      </c>
      <c r="T29" s="35">
        <f t="shared" si="2"/>
        <v>168819.23186636079</v>
      </c>
      <c r="U29" s="35">
        <f t="shared" si="2"/>
        <v>168143.95493889536</v>
      </c>
      <c r="V29" s="35">
        <f t="shared" si="2"/>
        <v>167471.37911913978</v>
      </c>
      <c r="W29" s="35">
        <f t="shared" si="2"/>
        <v>166801.49360266322</v>
      </c>
    </row>
    <row r="31" spans="1:23" x14ac:dyDescent="0.25">
      <c r="B31" s="54" t="s">
        <v>67</v>
      </c>
      <c r="C31" s="55">
        <v>0</v>
      </c>
      <c r="D31" s="55">
        <v>1</v>
      </c>
      <c r="E31" s="55">
        <v>2</v>
      </c>
      <c r="F31" s="55">
        <v>3</v>
      </c>
      <c r="G31" s="55">
        <v>4</v>
      </c>
      <c r="H31" s="55">
        <v>5</v>
      </c>
      <c r="I31" s="55">
        <v>6</v>
      </c>
      <c r="J31" s="55">
        <v>7</v>
      </c>
      <c r="K31" s="55">
        <v>8</v>
      </c>
      <c r="L31" s="55">
        <v>9</v>
      </c>
      <c r="M31" s="55">
        <v>10</v>
      </c>
      <c r="N31" s="55">
        <v>11</v>
      </c>
      <c r="O31" s="55">
        <v>12</v>
      </c>
      <c r="P31" s="55">
        <v>13</v>
      </c>
      <c r="Q31" s="55">
        <v>14</v>
      </c>
      <c r="R31" s="55">
        <v>15</v>
      </c>
      <c r="S31" s="55">
        <v>16</v>
      </c>
      <c r="T31" s="55">
        <v>17</v>
      </c>
      <c r="U31" s="55">
        <v>18</v>
      </c>
      <c r="V31" s="55">
        <v>19</v>
      </c>
      <c r="W31" s="55">
        <v>20</v>
      </c>
    </row>
    <row r="32" spans="1:23" x14ac:dyDescent="0.25">
      <c r="B32" s="46" t="s">
        <v>29</v>
      </c>
      <c r="C32" s="47"/>
      <c r="D32" s="48">
        <f>SUM(D33:D35)</f>
        <v>39037.5</v>
      </c>
      <c r="E32" s="48">
        <f t="shared" ref="E32:W32" si="3">SUM(E33:E35)</f>
        <v>38881.35</v>
      </c>
      <c r="F32" s="48">
        <f t="shared" si="3"/>
        <v>38725.8246</v>
      </c>
      <c r="G32" s="48">
        <f t="shared" si="3"/>
        <v>38570.921301599999</v>
      </c>
      <c r="H32" s="48">
        <f t="shared" si="3"/>
        <v>38416.6376163936</v>
      </c>
      <c r="I32" s="48">
        <f t="shared" si="3"/>
        <v>38262.971065928024</v>
      </c>
      <c r="J32" s="48">
        <f t="shared" si="3"/>
        <v>38109.919181664322</v>
      </c>
      <c r="K32" s="48">
        <f t="shared" si="3"/>
        <v>37957.479504937663</v>
      </c>
      <c r="L32" s="48">
        <f t="shared" si="3"/>
        <v>37805.649586917905</v>
      </c>
      <c r="M32" s="48">
        <f t="shared" si="3"/>
        <v>37654.426988570238</v>
      </c>
      <c r="N32" s="48">
        <f t="shared" si="3"/>
        <v>37503.809280615955</v>
      </c>
      <c r="O32" s="48">
        <f t="shared" si="3"/>
        <v>37353.794043493494</v>
      </c>
      <c r="P32" s="48">
        <f t="shared" si="3"/>
        <v>37204.378867319523</v>
      </c>
      <c r="Q32" s="48">
        <f t="shared" si="3"/>
        <v>37055.561351850236</v>
      </c>
      <c r="R32" s="48">
        <f t="shared" si="3"/>
        <v>36907.339106442836</v>
      </c>
      <c r="S32" s="48">
        <f t="shared" si="3"/>
        <v>36759.709750017064</v>
      </c>
      <c r="T32" s="48">
        <f t="shared" si="3"/>
        <v>36612.670911016998</v>
      </c>
      <c r="U32" s="48">
        <f t="shared" si="3"/>
        <v>36466.220227372934</v>
      </c>
      <c r="V32" s="48">
        <f t="shared" si="3"/>
        <v>36320.355346463439</v>
      </c>
      <c r="W32" s="48">
        <f t="shared" si="3"/>
        <v>36175.07392507758</v>
      </c>
    </row>
    <row r="33" spans="2:23" x14ac:dyDescent="0.25">
      <c r="B33" s="32" t="s">
        <v>30</v>
      </c>
      <c r="D33" s="35">
        <f>D27*$D$16</f>
        <v>23040</v>
      </c>
      <c r="E33" s="35">
        <f t="shared" ref="E33:W33" si="4">E27*$D$16</f>
        <v>22947.84</v>
      </c>
      <c r="F33" s="35">
        <f t="shared" si="4"/>
        <v>22856.048640000001</v>
      </c>
      <c r="G33" s="35">
        <f t="shared" si="4"/>
        <v>22764.62444544</v>
      </c>
      <c r="H33" s="35">
        <f t="shared" si="4"/>
        <v>22673.56594765824</v>
      </c>
      <c r="I33" s="35">
        <f t="shared" si="4"/>
        <v>22582.871683867608</v>
      </c>
      <c r="J33" s="35">
        <f t="shared" si="4"/>
        <v>22492.540197132141</v>
      </c>
      <c r="K33" s="35">
        <f t="shared" si="4"/>
        <v>22402.570036343612</v>
      </c>
      <c r="L33" s="35">
        <f t="shared" si="4"/>
        <v>22312.959756198237</v>
      </c>
      <c r="M33" s="35">
        <f t="shared" si="4"/>
        <v>22223.707917173444</v>
      </c>
      <c r="N33" s="35">
        <f t="shared" si="4"/>
        <v>22134.813085504749</v>
      </c>
      <c r="O33" s="35">
        <f t="shared" si="4"/>
        <v>22046.27383316273</v>
      </c>
      <c r="P33" s="35">
        <f t="shared" si="4"/>
        <v>21958.088737830079</v>
      </c>
      <c r="Q33" s="35">
        <f t="shared" si="4"/>
        <v>21870.256382878761</v>
      </c>
      <c r="R33" s="35">
        <f t="shared" si="4"/>
        <v>21782.775357347244</v>
      </c>
      <c r="S33" s="35">
        <f t="shared" si="4"/>
        <v>21695.644255917854</v>
      </c>
      <c r="T33" s="35">
        <f t="shared" si="4"/>
        <v>21608.861678894184</v>
      </c>
      <c r="U33" s="35">
        <f t="shared" si="4"/>
        <v>21522.426232178608</v>
      </c>
      <c r="V33" s="35">
        <f t="shared" si="4"/>
        <v>21436.336527249892</v>
      </c>
      <c r="W33" s="35">
        <f t="shared" si="4"/>
        <v>21350.591181140891</v>
      </c>
    </row>
    <row r="34" spans="2:23" x14ac:dyDescent="0.25">
      <c r="B34" s="32" t="s">
        <v>31</v>
      </c>
      <c r="D34" s="35">
        <f>D28*$D$17*$D$10</f>
        <v>0</v>
      </c>
      <c r="E34" s="35">
        <f t="shared" ref="E34:W34" si="5">E28*$D$17*$D$10</f>
        <v>0</v>
      </c>
      <c r="F34" s="35">
        <f t="shared" si="5"/>
        <v>0</v>
      </c>
      <c r="G34" s="35">
        <f t="shared" si="5"/>
        <v>0</v>
      </c>
      <c r="H34" s="35">
        <f t="shared" si="5"/>
        <v>0</v>
      </c>
      <c r="I34" s="35">
        <f t="shared" si="5"/>
        <v>0</v>
      </c>
      <c r="J34" s="35">
        <f t="shared" si="5"/>
        <v>0</v>
      </c>
      <c r="K34" s="35">
        <f t="shared" si="5"/>
        <v>0</v>
      </c>
      <c r="L34" s="35">
        <f t="shared" si="5"/>
        <v>0</v>
      </c>
      <c r="M34" s="35">
        <f t="shared" si="5"/>
        <v>0</v>
      </c>
      <c r="N34" s="35">
        <f t="shared" si="5"/>
        <v>0</v>
      </c>
      <c r="O34" s="35">
        <f t="shared" si="5"/>
        <v>0</v>
      </c>
      <c r="P34" s="35">
        <f t="shared" si="5"/>
        <v>0</v>
      </c>
      <c r="Q34" s="35">
        <f t="shared" si="5"/>
        <v>0</v>
      </c>
      <c r="R34" s="35">
        <f t="shared" si="5"/>
        <v>0</v>
      </c>
      <c r="S34" s="35">
        <f t="shared" si="5"/>
        <v>0</v>
      </c>
      <c r="T34" s="35">
        <f t="shared" si="5"/>
        <v>0</v>
      </c>
      <c r="U34" s="35">
        <f t="shared" si="5"/>
        <v>0</v>
      </c>
      <c r="V34" s="35">
        <f t="shared" si="5"/>
        <v>0</v>
      </c>
      <c r="W34" s="35">
        <f t="shared" si="5"/>
        <v>0</v>
      </c>
    </row>
    <row r="35" spans="2:23" x14ac:dyDescent="0.25">
      <c r="B35" s="32" t="s">
        <v>32</v>
      </c>
      <c r="D35" s="35">
        <f>D29*($D$18+$D$19)*$D$11</f>
        <v>15997.5</v>
      </c>
      <c r="E35" s="35">
        <f t="shared" ref="E35:W35" si="6">E29*($D$18+$D$19)*$D$11</f>
        <v>15933.51</v>
      </c>
      <c r="F35" s="35">
        <f t="shared" si="6"/>
        <v>15869.775960000001</v>
      </c>
      <c r="G35" s="35">
        <f t="shared" si="6"/>
        <v>15806.296856159999</v>
      </c>
      <c r="H35" s="35">
        <f t="shared" si="6"/>
        <v>15743.07166873536</v>
      </c>
      <c r="I35" s="35">
        <f t="shared" si="6"/>
        <v>15680.09938206042</v>
      </c>
      <c r="J35" s="35">
        <f t="shared" si="6"/>
        <v>15617.378984532179</v>
      </c>
      <c r="K35" s="35">
        <f t="shared" si="6"/>
        <v>15554.909468594049</v>
      </c>
      <c r="L35" s="35">
        <f t="shared" si="6"/>
        <v>15492.689830719672</v>
      </c>
      <c r="M35" s="35">
        <f t="shared" si="6"/>
        <v>15430.719071396794</v>
      </c>
      <c r="N35" s="35">
        <f t="shared" si="6"/>
        <v>15368.996195111207</v>
      </c>
      <c r="O35" s="35">
        <f t="shared" si="6"/>
        <v>15307.520210330762</v>
      </c>
      <c r="P35" s="35">
        <f t="shared" si="6"/>
        <v>15246.29012948944</v>
      </c>
      <c r="Q35" s="35">
        <f t="shared" si="6"/>
        <v>15185.304968971479</v>
      </c>
      <c r="R35" s="35">
        <f t="shared" si="6"/>
        <v>15124.563749095594</v>
      </c>
      <c r="S35" s="35">
        <f t="shared" si="6"/>
        <v>15064.065494099214</v>
      </c>
      <c r="T35" s="35">
        <f t="shared" si="6"/>
        <v>15003.809232122814</v>
      </c>
      <c r="U35" s="35">
        <f t="shared" si="6"/>
        <v>14943.793995194324</v>
      </c>
      <c r="V35" s="35">
        <f t="shared" si="6"/>
        <v>14884.018819213547</v>
      </c>
      <c r="W35" s="35">
        <f t="shared" si="6"/>
        <v>14824.482743936693</v>
      </c>
    </row>
    <row r="36" spans="2:23" x14ac:dyDescent="0.25">
      <c r="B36" s="46" t="s">
        <v>33</v>
      </c>
      <c r="C36" s="47"/>
      <c r="D36" s="48">
        <f>D37</f>
        <v>-8400.0000000000018</v>
      </c>
      <c r="E36" s="48">
        <f t="shared" ref="E36:W36" si="7">E37</f>
        <v>-8400.0000000000018</v>
      </c>
      <c r="F36" s="48">
        <f t="shared" si="7"/>
        <v>-8400.0000000000018</v>
      </c>
      <c r="G36" s="48">
        <f t="shared" si="7"/>
        <v>-8400.0000000000018</v>
      </c>
      <c r="H36" s="48">
        <f t="shared" si="7"/>
        <v>-8400.0000000000018</v>
      </c>
      <c r="I36" s="48">
        <f t="shared" si="7"/>
        <v>-8400.0000000000018</v>
      </c>
      <c r="J36" s="48">
        <f t="shared" si="7"/>
        <v>-8400.0000000000018</v>
      </c>
      <c r="K36" s="48">
        <f t="shared" si="7"/>
        <v>-8400.0000000000018</v>
      </c>
      <c r="L36" s="48">
        <f t="shared" si="7"/>
        <v>-8400.0000000000018</v>
      </c>
      <c r="M36" s="48">
        <f t="shared" si="7"/>
        <v>-8400.0000000000018</v>
      </c>
      <c r="N36" s="48">
        <f t="shared" si="7"/>
        <v>-8400.0000000000018</v>
      </c>
      <c r="O36" s="48">
        <f t="shared" si="7"/>
        <v>-8400.0000000000018</v>
      </c>
      <c r="P36" s="48">
        <f t="shared" si="7"/>
        <v>-8400.0000000000018</v>
      </c>
      <c r="Q36" s="48">
        <f t="shared" si="7"/>
        <v>-8400.0000000000018</v>
      </c>
      <c r="R36" s="48">
        <f t="shared" si="7"/>
        <v>-8400.0000000000018</v>
      </c>
      <c r="S36" s="48">
        <f t="shared" si="7"/>
        <v>-8400.0000000000018</v>
      </c>
      <c r="T36" s="48">
        <f t="shared" si="7"/>
        <v>-8400.0000000000018</v>
      </c>
      <c r="U36" s="48">
        <f t="shared" si="7"/>
        <v>-8400.0000000000018</v>
      </c>
      <c r="V36" s="48">
        <f t="shared" si="7"/>
        <v>-8400.0000000000018</v>
      </c>
      <c r="W36" s="48">
        <f t="shared" si="7"/>
        <v>-8400.0000000000018</v>
      </c>
    </row>
    <row r="37" spans="2:23" x14ac:dyDescent="0.25">
      <c r="B37" s="32" t="s">
        <v>18</v>
      </c>
      <c r="D37" s="35">
        <f>-$D$22*$D$7*$D$21</f>
        <v>-8400.0000000000018</v>
      </c>
      <c r="E37" s="35">
        <f t="shared" ref="E37:W37" si="8">-$D$22*$D$7*$D$21</f>
        <v>-8400.0000000000018</v>
      </c>
      <c r="F37" s="35">
        <f t="shared" si="8"/>
        <v>-8400.0000000000018</v>
      </c>
      <c r="G37" s="35">
        <f t="shared" si="8"/>
        <v>-8400.0000000000018</v>
      </c>
      <c r="H37" s="35">
        <f t="shared" si="8"/>
        <v>-8400.0000000000018</v>
      </c>
      <c r="I37" s="35">
        <f t="shared" si="8"/>
        <v>-8400.0000000000018</v>
      </c>
      <c r="J37" s="35">
        <f t="shared" si="8"/>
        <v>-8400.0000000000018</v>
      </c>
      <c r="K37" s="35">
        <f t="shared" si="8"/>
        <v>-8400.0000000000018</v>
      </c>
      <c r="L37" s="35">
        <f t="shared" si="8"/>
        <v>-8400.0000000000018</v>
      </c>
      <c r="M37" s="35">
        <f t="shared" si="8"/>
        <v>-8400.0000000000018</v>
      </c>
      <c r="N37" s="35">
        <f t="shared" si="8"/>
        <v>-8400.0000000000018</v>
      </c>
      <c r="O37" s="35">
        <f t="shared" si="8"/>
        <v>-8400.0000000000018</v>
      </c>
      <c r="P37" s="35">
        <f t="shared" si="8"/>
        <v>-8400.0000000000018</v>
      </c>
      <c r="Q37" s="35">
        <f t="shared" si="8"/>
        <v>-8400.0000000000018</v>
      </c>
      <c r="R37" s="35">
        <f t="shared" si="8"/>
        <v>-8400.0000000000018</v>
      </c>
      <c r="S37" s="35">
        <f t="shared" si="8"/>
        <v>-8400.0000000000018</v>
      </c>
      <c r="T37" s="35">
        <f t="shared" si="8"/>
        <v>-8400.0000000000018</v>
      </c>
      <c r="U37" s="35">
        <f t="shared" si="8"/>
        <v>-8400.0000000000018</v>
      </c>
      <c r="V37" s="35">
        <f t="shared" si="8"/>
        <v>-8400.0000000000018</v>
      </c>
      <c r="W37" s="35">
        <f t="shared" si="8"/>
        <v>-8400.0000000000018</v>
      </c>
    </row>
    <row r="38" spans="2:23" x14ac:dyDescent="0.25">
      <c r="B38" s="49" t="s">
        <v>36</v>
      </c>
      <c r="C38" s="50"/>
      <c r="D38" s="51">
        <f>D32+D36</f>
        <v>30637.5</v>
      </c>
      <c r="E38" s="51">
        <f t="shared" ref="E38:W38" si="9">E32+E36</f>
        <v>30481.35</v>
      </c>
      <c r="F38" s="51">
        <f t="shared" si="9"/>
        <v>30325.8246</v>
      </c>
      <c r="G38" s="51">
        <f t="shared" si="9"/>
        <v>30170.921301599999</v>
      </c>
      <c r="H38" s="51">
        <f t="shared" si="9"/>
        <v>30016.6376163936</v>
      </c>
      <c r="I38" s="51">
        <f t="shared" si="9"/>
        <v>29862.971065928024</v>
      </c>
      <c r="J38" s="51">
        <f t="shared" si="9"/>
        <v>29709.919181664322</v>
      </c>
      <c r="K38" s="51">
        <f t="shared" si="9"/>
        <v>29557.479504937663</v>
      </c>
      <c r="L38" s="51">
        <f t="shared" si="9"/>
        <v>29405.649586917905</v>
      </c>
      <c r="M38" s="51">
        <f t="shared" si="9"/>
        <v>29254.426988570238</v>
      </c>
      <c r="N38" s="51">
        <f t="shared" si="9"/>
        <v>29103.809280615955</v>
      </c>
      <c r="O38" s="51">
        <f t="shared" si="9"/>
        <v>28953.794043493494</v>
      </c>
      <c r="P38" s="51">
        <f t="shared" si="9"/>
        <v>28804.378867319523</v>
      </c>
      <c r="Q38" s="51">
        <f t="shared" si="9"/>
        <v>28655.561351850236</v>
      </c>
      <c r="R38" s="51">
        <f t="shared" si="9"/>
        <v>28507.339106442836</v>
      </c>
      <c r="S38" s="51">
        <f t="shared" si="9"/>
        <v>28359.709750017064</v>
      </c>
      <c r="T38" s="51">
        <f t="shared" si="9"/>
        <v>28212.670911016998</v>
      </c>
      <c r="U38" s="51">
        <f t="shared" si="9"/>
        <v>28066.220227372934</v>
      </c>
      <c r="V38" s="51">
        <f t="shared" si="9"/>
        <v>27920.355346463439</v>
      </c>
      <c r="W38" s="51">
        <f t="shared" si="9"/>
        <v>27775.07392507758</v>
      </c>
    </row>
    <row r="39" spans="2:23" x14ac:dyDescent="0.25">
      <c r="B39" s="32" t="s">
        <v>37</v>
      </c>
      <c r="D39" s="35">
        <f>-$E$21/$D$12</f>
        <v>-12000</v>
      </c>
      <c r="E39" s="35">
        <f t="shared" ref="E39:W39" si="10">-$E$21/$D$12</f>
        <v>-12000</v>
      </c>
      <c r="F39" s="35">
        <f t="shared" si="10"/>
        <v>-12000</v>
      </c>
      <c r="G39" s="35">
        <f t="shared" si="10"/>
        <v>-12000</v>
      </c>
      <c r="H39" s="35">
        <f t="shared" si="10"/>
        <v>-12000</v>
      </c>
      <c r="I39" s="35">
        <f t="shared" si="10"/>
        <v>-12000</v>
      </c>
      <c r="J39" s="35">
        <f t="shared" si="10"/>
        <v>-12000</v>
      </c>
      <c r="K39" s="35">
        <f t="shared" si="10"/>
        <v>-12000</v>
      </c>
      <c r="L39" s="35">
        <f t="shared" si="10"/>
        <v>-12000</v>
      </c>
      <c r="M39" s="35">
        <f t="shared" si="10"/>
        <v>-12000</v>
      </c>
      <c r="N39" s="35">
        <f t="shared" si="10"/>
        <v>-12000</v>
      </c>
      <c r="O39" s="35">
        <f t="shared" si="10"/>
        <v>-12000</v>
      </c>
      <c r="P39" s="35">
        <f t="shared" si="10"/>
        <v>-12000</v>
      </c>
      <c r="Q39" s="35">
        <f t="shared" si="10"/>
        <v>-12000</v>
      </c>
      <c r="R39" s="35">
        <f t="shared" si="10"/>
        <v>-12000</v>
      </c>
      <c r="S39" s="35">
        <f t="shared" si="10"/>
        <v>-12000</v>
      </c>
      <c r="T39" s="35">
        <f t="shared" si="10"/>
        <v>-12000</v>
      </c>
      <c r="U39" s="35">
        <f t="shared" si="10"/>
        <v>-12000</v>
      </c>
      <c r="V39" s="35">
        <f t="shared" si="10"/>
        <v>-12000</v>
      </c>
      <c r="W39" s="35">
        <f t="shared" si="10"/>
        <v>-12000</v>
      </c>
    </row>
    <row r="40" spans="2:23" x14ac:dyDescent="0.25">
      <c r="B40" s="49" t="s">
        <v>40</v>
      </c>
      <c r="C40" s="50"/>
      <c r="D40" s="51">
        <f>D38+D39</f>
        <v>18637.5</v>
      </c>
      <c r="E40" s="51">
        <f t="shared" ref="E40:W40" si="11">E38+E39</f>
        <v>18481.349999999999</v>
      </c>
      <c r="F40" s="51">
        <f t="shared" si="11"/>
        <v>18325.8246</v>
      </c>
      <c r="G40" s="51">
        <f t="shared" si="11"/>
        <v>18170.921301599999</v>
      </c>
      <c r="H40" s="51">
        <f t="shared" si="11"/>
        <v>18016.6376163936</v>
      </c>
      <c r="I40" s="51">
        <f t="shared" si="11"/>
        <v>17862.971065928024</v>
      </c>
      <c r="J40" s="51">
        <f t="shared" si="11"/>
        <v>17709.919181664322</v>
      </c>
      <c r="K40" s="51">
        <f t="shared" si="11"/>
        <v>17557.479504937663</v>
      </c>
      <c r="L40" s="51">
        <f t="shared" si="11"/>
        <v>17405.649586917905</v>
      </c>
      <c r="M40" s="51">
        <f t="shared" si="11"/>
        <v>17254.426988570238</v>
      </c>
      <c r="N40" s="51">
        <f t="shared" si="11"/>
        <v>17103.809280615955</v>
      </c>
      <c r="O40" s="51">
        <f t="shared" si="11"/>
        <v>16953.794043493494</v>
      </c>
      <c r="P40" s="51">
        <f t="shared" si="11"/>
        <v>16804.378867319523</v>
      </c>
      <c r="Q40" s="51">
        <f t="shared" si="11"/>
        <v>16655.561351850236</v>
      </c>
      <c r="R40" s="51">
        <f t="shared" si="11"/>
        <v>16507.339106442836</v>
      </c>
      <c r="S40" s="51">
        <f t="shared" si="11"/>
        <v>16359.709750017064</v>
      </c>
      <c r="T40" s="51">
        <f t="shared" si="11"/>
        <v>16212.670911016998</v>
      </c>
      <c r="U40" s="51">
        <f t="shared" si="11"/>
        <v>16066.220227372934</v>
      </c>
      <c r="V40" s="51">
        <f t="shared" si="11"/>
        <v>15920.355346463439</v>
      </c>
      <c r="W40" s="51">
        <f t="shared" si="11"/>
        <v>15775.07392507758</v>
      </c>
    </row>
    <row r="41" spans="2:23" x14ac:dyDescent="0.25">
      <c r="B41" s="32" t="s">
        <v>41</v>
      </c>
      <c r="D41" s="35">
        <f>-D40*$D$23+D35*$D$23+D34*$D$23</f>
        <v>-739.20000000000073</v>
      </c>
      <c r="E41" s="35">
        <f t="shared" ref="E41:W41" si="12">-E40*$D$23+E35*$D$23+E34*$D$23</f>
        <v>-713.39519999999993</v>
      </c>
      <c r="F41" s="35">
        <f t="shared" si="12"/>
        <v>-687.69361919999938</v>
      </c>
      <c r="G41" s="35">
        <f t="shared" si="12"/>
        <v>-662.09484472320037</v>
      </c>
      <c r="H41" s="35">
        <f t="shared" si="12"/>
        <v>-636.59846534430744</v>
      </c>
      <c r="I41" s="35">
        <f t="shared" si="12"/>
        <v>-611.20407148292907</v>
      </c>
      <c r="J41" s="35">
        <f t="shared" si="12"/>
        <v>-585.91125519700017</v>
      </c>
      <c r="K41" s="35">
        <f t="shared" si="12"/>
        <v>-560.71961017621197</v>
      </c>
      <c r="L41" s="35">
        <f t="shared" si="12"/>
        <v>-535.62873173550634</v>
      </c>
      <c r="M41" s="35">
        <f t="shared" si="12"/>
        <v>-510.63821680856472</v>
      </c>
      <c r="N41" s="35">
        <f t="shared" si="12"/>
        <v>-485.74766394132985</v>
      </c>
      <c r="O41" s="35">
        <f t="shared" si="12"/>
        <v>-460.95667328556465</v>
      </c>
      <c r="P41" s="35">
        <f t="shared" si="12"/>
        <v>-436.26484659242396</v>
      </c>
      <c r="Q41" s="35">
        <f t="shared" si="12"/>
        <v>-411.6717872060517</v>
      </c>
      <c r="R41" s="35">
        <f t="shared" si="12"/>
        <v>-387.17710005722802</v>
      </c>
      <c r="S41" s="35">
        <f t="shared" si="12"/>
        <v>-362.78039165699829</v>
      </c>
      <c r="T41" s="35">
        <f t="shared" si="12"/>
        <v>-338.48127009037216</v>
      </c>
      <c r="U41" s="35">
        <f t="shared" si="12"/>
        <v>-314.27934501001073</v>
      </c>
      <c r="V41" s="35">
        <f t="shared" si="12"/>
        <v>-290.17422762996921</v>
      </c>
      <c r="W41" s="35">
        <f t="shared" si="12"/>
        <v>-266.16553071944872</v>
      </c>
    </row>
    <row r="42" spans="2:23" x14ac:dyDescent="0.25">
      <c r="B42" s="49" t="s">
        <v>43</v>
      </c>
      <c r="C42" s="50"/>
      <c r="D42" s="51">
        <f>D40+D41</f>
        <v>17898.3</v>
      </c>
      <c r="E42" s="51">
        <f t="shared" ref="E42:W42" si="13">E40+E41</f>
        <v>17767.9548</v>
      </c>
      <c r="F42" s="51">
        <f t="shared" si="13"/>
        <v>17638.130980800001</v>
      </c>
      <c r="G42" s="51">
        <f t="shared" si="13"/>
        <v>17508.826456876799</v>
      </c>
      <c r="H42" s="51">
        <f t="shared" si="13"/>
        <v>17380.039151049292</v>
      </c>
      <c r="I42" s="51">
        <f t="shared" si="13"/>
        <v>17251.766994445097</v>
      </c>
      <c r="J42" s="51">
        <f t="shared" si="13"/>
        <v>17124.007926467322</v>
      </c>
      <c r="K42" s="51">
        <f t="shared" si="13"/>
        <v>16996.75989476145</v>
      </c>
      <c r="L42" s="51">
        <f t="shared" si="13"/>
        <v>16870.0208551824</v>
      </c>
      <c r="M42" s="51">
        <f t="shared" si="13"/>
        <v>16743.788771761672</v>
      </c>
      <c r="N42" s="51">
        <f t="shared" si="13"/>
        <v>16618.061616674626</v>
      </c>
      <c r="O42" s="51">
        <f t="shared" si="13"/>
        <v>16492.83737020793</v>
      </c>
      <c r="P42" s="51">
        <f t="shared" si="13"/>
        <v>16368.114020727098</v>
      </c>
      <c r="Q42" s="51">
        <f t="shared" si="13"/>
        <v>16243.889564644185</v>
      </c>
      <c r="R42" s="51">
        <f t="shared" si="13"/>
        <v>16120.162006385608</v>
      </c>
      <c r="S42" s="51">
        <f t="shared" si="13"/>
        <v>15996.929358360067</v>
      </c>
      <c r="T42" s="51">
        <f t="shared" si="13"/>
        <v>15874.189640926626</v>
      </c>
      <c r="U42" s="51">
        <f t="shared" si="13"/>
        <v>15751.940882362924</v>
      </c>
      <c r="V42" s="51">
        <f t="shared" si="13"/>
        <v>15630.181118833469</v>
      </c>
      <c r="W42" s="51">
        <f t="shared" si="13"/>
        <v>15508.908394358132</v>
      </c>
    </row>
    <row r="43" spans="2:23" ht="12" x14ac:dyDescent="0.3">
      <c r="B43" s="70" t="s">
        <v>124</v>
      </c>
      <c r="C43" s="71"/>
      <c r="D43" s="72">
        <f>D42/D32</f>
        <v>0.45848991354466856</v>
      </c>
      <c r="E43" s="72">
        <f t="shared" ref="E43:W43" si="14">E42/E32</f>
        <v>0.45697885490087148</v>
      </c>
      <c r="F43" s="72">
        <f t="shared" si="14"/>
        <v>0.45546172774846477</v>
      </c>
      <c r="G43" s="72">
        <f t="shared" si="14"/>
        <v>0.45393850771592792</v>
      </c>
      <c r="H43" s="72">
        <f t="shared" si="14"/>
        <v>0.45240917033386274</v>
      </c>
      <c r="I43" s="72">
        <f t="shared" si="14"/>
        <v>0.45087369103460068</v>
      </c>
      <c r="J43" s="72">
        <f t="shared" si="14"/>
        <v>0.44933204515180736</v>
      </c>
      <c r="K43" s="72">
        <f t="shared" si="14"/>
        <v>0.44778420792008705</v>
      </c>
      <c r="L43" s="72">
        <f t="shared" si="14"/>
        <v>0.44623015447458481</v>
      </c>
      <c r="M43" s="72">
        <f t="shared" si="14"/>
        <v>0.44466985985058655</v>
      </c>
      <c r="N43" s="72">
        <f t="shared" si="14"/>
        <v>0.44310329898311851</v>
      </c>
      <c r="O43" s="72">
        <f t="shared" si="14"/>
        <v>0.44153044670654412</v>
      </c>
      <c r="P43" s="72">
        <f t="shared" si="14"/>
        <v>0.43995127775416015</v>
      </c>
      <c r="Q43" s="72">
        <f t="shared" si="14"/>
        <v>0.43836576675779071</v>
      </c>
      <c r="R43" s="72">
        <f t="shared" si="14"/>
        <v>0.43677388824737967</v>
      </c>
      <c r="S43" s="72">
        <f t="shared" si="14"/>
        <v>0.43517561665058141</v>
      </c>
      <c r="T43" s="72">
        <f t="shared" si="14"/>
        <v>0.43357092629235022</v>
      </c>
      <c r="U43" s="72">
        <f t="shared" si="14"/>
        <v>0.43195979139452784</v>
      </c>
      <c r="V43" s="72">
        <f t="shared" si="14"/>
        <v>0.4303421860754289</v>
      </c>
      <c r="W43" s="72">
        <f t="shared" si="14"/>
        <v>0.42871808434942599</v>
      </c>
    </row>
    <row r="45" spans="2:23" x14ac:dyDescent="0.25">
      <c r="B45" s="54" t="s">
        <v>68</v>
      </c>
      <c r="C45" s="55">
        <v>0</v>
      </c>
      <c r="D45" s="55">
        <v>1</v>
      </c>
      <c r="E45" s="55">
        <v>2</v>
      </c>
      <c r="F45" s="55">
        <v>3</v>
      </c>
      <c r="G45" s="55">
        <v>4</v>
      </c>
      <c r="H45" s="55">
        <v>5</v>
      </c>
      <c r="I45" s="55">
        <v>6</v>
      </c>
      <c r="J45" s="55">
        <v>7</v>
      </c>
      <c r="K45" s="55">
        <v>8</v>
      </c>
      <c r="L45" s="55">
        <v>9</v>
      </c>
      <c r="M45" s="55">
        <v>10</v>
      </c>
      <c r="N45" s="55">
        <v>11</v>
      </c>
      <c r="O45" s="55">
        <v>12</v>
      </c>
      <c r="P45" s="55">
        <v>13</v>
      </c>
      <c r="Q45" s="55">
        <v>14</v>
      </c>
      <c r="R45" s="55">
        <v>15</v>
      </c>
      <c r="S45" s="55">
        <v>16</v>
      </c>
      <c r="T45" s="55">
        <v>17</v>
      </c>
      <c r="U45" s="55">
        <v>18</v>
      </c>
      <c r="V45" s="55">
        <v>19</v>
      </c>
      <c r="W45" s="55">
        <v>20</v>
      </c>
    </row>
    <row r="46" spans="2:23" x14ac:dyDescent="0.25">
      <c r="B46" s="32" t="s">
        <v>36</v>
      </c>
      <c r="D46" s="35">
        <f>D38</f>
        <v>30637.5</v>
      </c>
      <c r="E46" s="35">
        <f t="shared" ref="E46:W46" si="15">E38</f>
        <v>30481.35</v>
      </c>
      <c r="F46" s="35">
        <f t="shared" si="15"/>
        <v>30325.8246</v>
      </c>
      <c r="G46" s="35">
        <f t="shared" si="15"/>
        <v>30170.921301599999</v>
      </c>
      <c r="H46" s="35">
        <f t="shared" si="15"/>
        <v>30016.6376163936</v>
      </c>
      <c r="I46" s="35">
        <f t="shared" si="15"/>
        <v>29862.971065928024</v>
      </c>
      <c r="J46" s="35">
        <f t="shared" si="15"/>
        <v>29709.919181664322</v>
      </c>
      <c r="K46" s="35">
        <f t="shared" si="15"/>
        <v>29557.479504937663</v>
      </c>
      <c r="L46" s="35">
        <f t="shared" si="15"/>
        <v>29405.649586917905</v>
      </c>
      <c r="M46" s="35">
        <f t="shared" si="15"/>
        <v>29254.426988570238</v>
      </c>
      <c r="N46" s="35">
        <f t="shared" si="15"/>
        <v>29103.809280615955</v>
      </c>
      <c r="O46" s="35">
        <f t="shared" si="15"/>
        <v>28953.794043493494</v>
      </c>
      <c r="P46" s="35">
        <f t="shared" si="15"/>
        <v>28804.378867319523</v>
      </c>
      <c r="Q46" s="35">
        <f t="shared" si="15"/>
        <v>28655.561351850236</v>
      </c>
      <c r="R46" s="35">
        <f t="shared" si="15"/>
        <v>28507.339106442836</v>
      </c>
      <c r="S46" s="35">
        <f t="shared" si="15"/>
        <v>28359.709750017064</v>
      </c>
      <c r="T46" s="35">
        <f t="shared" si="15"/>
        <v>28212.670911016998</v>
      </c>
      <c r="U46" s="35">
        <f t="shared" si="15"/>
        <v>28066.220227372934</v>
      </c>
      <c r="V46" s="35">
        <f t="shared" si="15"/>
        <v>27920.355346463439</v>
      </c>
      <c r="W46" s="35">
        <f t="shared" si="15"/>
        <v>27775.07392507758</v>
      </c>
    </row>
    <row r="47" spans="2:23" x14ac:dyDescent="0.25">
      <c r="B47" s="32" t="s">
        <v>41</v>
      </c>
      <c r="D47" s="35">
        <f>D41</f>
        <v>-739.20000000000073</v>
      </c>
      <c r="E47" s="35">
        <f t="shared" ref="E47:W47" si="16">E41</f>
        <v>-713.39519999999993</v>
      </c>
      <c r="F47" s="35">
        <f t="shared" si="16"/>
        <v>-687.69361919999938</v>
      </c>
      <c r="G47" s="35">
        <f t="shared" si="16"/>
        <v>-662.09484472320037</v>
      </c>
      <c r="H47" s="35">
        <f t="shared" si="16"/>
        <v>-636.59846534430744</v>
      </c>
      <c r="I47" s="35">
        <f t="shared" si="16"/>
        <v>-611.20407148292907</v>
      </c>
      <c r="J47" s="35">
        <f t="shared" si="16"/>
        <v>-585.91125519700017</v>
      </c>
      <c r="K47" s="35">
        <f t="shared" si="16"/>
        <v>-560.71961017621197</v>
      </c>
      <c r="L47" s="35">
        <f t="shared" si="16"/>
        <v>-535.62873173550634</v>
      </c>
      <c r="M47" s="35">
        <f t="shared" si="16"/>
        <v>-510.63821680856472</v>
      </c>
      <c r="N47" s="35">
        <f t="shared" si="16"/>
        <v>-485.74766394132985</v>
      </c>
      <c r="O47" s="35">
        <f t="shared" si="16"/>
        <v>-460.95667328556465</v>
      </c>
      <c r="P47" s="35">
        <f t="shared" si="16"/>
        <v>-436.26484659242396</v>
      </c>
      <c r="Q47" s="35">
        <f t="shared" si="16"/>
        <v>-411.6717872060517</v>
      </c>
      <c r="R47" s="35">
        <f t="shared" si="16"/>
        <v>-387.17710005722802</v>
      </c>
      <c r="S47" s="35">
        <f t="shared" si="16"/>
        <v>-362.78039165699829</v>
      </c>
      <c r="T47" s="35">
        <f t="shared" si="16"/>
        <v>-338.48127009037216</v>
      </c>
      <c r="U47" s="35">
        <f t="shared" si="16"/>
        <v>-314.27934501001073</v>
      </c>
      <c r="V47" s="35">
        <f t="shared" si="16"/>
        <v>-290.17422762996921</v>
      </c>
      <c r="W47" s="35">
        <f t="shared" si="16"/>
        <v>-266.16553071944872</v>
      </c>
    </row>
    <row r="48" spans="2:23" x14ac:dyDescent="0.25">
      <c r="B48" s="32" t="s">
        <v>45</v>
      </c>
      <c r="C48" s="35">
        <f>-E21</f>
        <v>-240000</v>
      </c>
    </row>
    <row r="49" spans="2:23" x14ac:dyDescent="0.25">
      <c r="B49" s="49" t="s">
        <v>126</v>
      </c>
      <c r="C49" s="51">
        <f t="shared" ref="C49" si="17">SUM(C46:C48)</f>
        <v>-240000</v>
      </c>
      <c r="D49" s="51">
        <f>SUM(D46:D48)</f>
        <v>29898.3</v>
      </c>
      <c r="E49" s="51">
        <f t="shared" ref="E49:W49" si="18">SUM(E46:E48)</f>
        <v>29767.9548</v>
      </c>
      <c r="F49" s="51">
        <f t="shared" si="18"/>
        <v>29638.130980800001</v>
      </c>
      <c r="G49" s="51">
        <f t="shared" si="18"/>
        <v>29508.826456876799</v>
      </c>
      <c r="H49" s="51">
        <f t="shared" si="18"/>
        <v>29380.039151049292</v>
      </c>
      <c r="I49" s="51">
        <f t="shared" si="18"/>
        <v>29251.766994445097</v>
      </c>
      <c r="J49" s="51">
        <f t="shared" si="18"/>
        <v>29124.007926467322</v>
      </c>
      <c r="K49" s="51">
        <f t="shared" si="18"/>
        <v>28996.75989476145</v>
      </c>
      <c r="L49" s="51">
        <f t="shared" si="18"/>
        <v>28870.0208551824</v>
      </c>
      <c r="M49" s="51">
        <f t="shared" si="18"/>
        <v>28743.788771761672</v>
      </c>
      <c r="N49" s="51">
        <f t="shared" si="18"/>
        <v>28618.061616674626</v>
      </c>
      <c r="O49" s="51">
        <f t="shared" si="18"/>
        <v>28492.83737020793</v>
      </c>
      <c r="P49" s="51">
        <f t="shared" si="18"/>
        <v>28368.114020727098</v>
      </c>
      <c r="Q49" s="51">
        <f t="shared" si="18"/>
        <v>28243.889564644185</v>
      </c>
      <c r="R49" s="51">
        <f t="shared" si="18"/>
        <v>28120.16200638561</v>
      </c>
      <c r="S49" s="51">
        <f t="shared" si="18"/>
        <v>27996.929358360067</v>
      </c>
      <c r="T49" s="51">
        <f t="shared" si="18"/>
        <v>27874.189640926626</v>
      </c>
      <c r="U49" s="51">
        <f t="shared" si="18"/>
        <v>27751.940882362924</v>
      </c>
      <c r="V49" s="51">
        <f t="shared" si="18"/>
        <v>27630.181118833469</v>
      </c>
      <c r="W49" s="51">
        <f t="shared" si="18"/>
        <v>27508.908394358132</v>
      </c>
    </row>
    <row r="50" spans="2:23" x14ac:dyDescent="0.25">
      <c r="B50" s="49" t="s">
        <v>125</v>
      </c>
      <c r="C50" s="51">
        <f t="shared" ref="C50" si="19">C49</f>
        <v>-240000</v>
      </c>
      <c r="D50" s="51">
        <f t="shared" ref="D50:W50" si="20">C50+D49</f>
        <v>-210101.7</v>
      </c>
      <c r="E50" s="51">
        <f t="shared" si="20"/>
        <v>-180333.7452</v>
      </c>
      <c r="F50" s="51">
        <f t="shared" si="20"/>
        <v>-150695.61421920001</v>
      </c>
      <c r="G50" s="51">
        <f t="shared" si="20"/>
        <v>-121186.78776232322</v>
      </c>
      <c r="H50" s="51">
        <f t="shared" si="20"/>
        <v>-91806.748611273928</v>
      </c>
      <c r="I50" s="51">
        <f t="shared" si="20"/>
        <v>-62554.981616828831</v>
      </c>
      <c r="J50" s="51">
        <f t="shared" si="20"/>
        <v>-33430.973690361512</v>
      </c>
      <c r="K50" s="51">
        <f t="shared" si="20"/>
        <v>-4434.2137956000624</v>
      </c>
      <c r="L50" s="51">
        <f t="shared" si="20"/>
        <v>24435.807059582337</v>
      </c>
      <c r="M50" s="51">
        <f t="shared" si="20"/>
        <v>53179.595831344006</v>
      </c>
      <c r="N50" s="51">
        <f t="shared" si="20"/>
        <v>81797.657448018639</v>
      </c>
      <c r="O50" s="51">
        <f t="shared" si="20"/>
        <v>110290.49481822657</v>
      </c>
      <c r="P50" s="51">
        <f t="shared" si="20"/>
        <v>138658.60883895366</v>
      </c>
      <c r="Q50" s="51">
        <f t="shared" si="20"/>
        <v>166902.49840359786</v>
      </c>
      <c r="R50" s="51">
        <f t="shared" si="20"/>
        <v>195022.66040998348</v>
      </c>
      <c r="S50" s="51">
        <f t="shared" si="20"/>
        <v>223019.58976834355</v>
      </c>
      <c r="T50" s="51">
        <f t="shared" si="20"/>
        <v>250893.77940927018</v>
      </c>
      <c r="U50" s="51">
        <f t="shared" si="20"/>
        <v>278645.7202916331</v>
      </c>
      <c r="V50" s="51">
        <f t="shared" si="20"/>
        <v>306275.90141046658</v>
      </c>
      <c r="W50" s="51">
        <f t="shared" si="20"/>
        <v>333784.8098048247</v>
      </c>
    </row>
    <row r="51" spans="2:23" x14ac:dyDescent="0.25">
      <c r="C51" s="28">
        <f>IF(AND(C50&lt;0,D50&gt;0),C45+0.5,0)</f>
        <v>0</v>
      </c>
      <c r="D51" s="28">
        <f t="shared" ref="D51:W51" si="21">IF(AND(D50&lt;0,E50&gt;0),D45+0.5,0)</f>
        <v>0</v>
      </c>
      <c r="E51" s="28">
        <f t="shared" si="21"/>
        <v>0</v>
      </c>
      <c r="F51" s="28">
        <f t="shared" si="21"/>
        <v>0</v>
      </c>
      <c r="G51" s="28">
        <f t="shared" si="21"/>
        <v>0</v>
      </c>
      <c r="H51" s="28">
        <f t="shared" si="21"/>
        <v>0</v>
      </c>
      <c r="I51" s="28">
        <f t="shared" si="21"/>
        <v>0</v>
      </c>
      <c r="J51" s="28">
        <f t="shared" si="21"/>
        <v>0</v>
      </c>
      <c r="K51" s="28">
        <f t="shared" si="21"/>
        <v>8.5</v>
      </c>
      <c r="L51" s="28">
        <f t="shared" si="21"/>
        <v>0</v>
      </c>
      <c r="M51" s="28">
        <f t="shared" si="21"/>
        <v>0</v>
      </c>
      <c r="N51" s="28">
        <f t="shared" si="21"/>
        <v>0</v>
      </c>
      <c r="O51" s="28">
        <f t="shared" si="21"/>
        <v>0</v>
      </c>
      <c r="P51" s="28">
        <f t="shared" si="21"/>
        <v>0</v>
      </c>
      <c r="Q51" s="28">
        <f t="shared" si="21"/>
        <v>0</v>
      </c>
      <c r="R51" s="28">
        <f t="shared" si="21"/>
        <v>0</v>
      </c>
      <c r="S51" s="28">
        <f t="shared" si="21"/>
        <v>0</v>
      </c>
      <c r="T51" s="28">
        <f t="shared" si="21"/>
        <v>0</v>
      </c>
      <c r="U51" s="28">
        <f t="shared" si="21"/>
        <v>0</v>
      </c>
      <c r="V51" s="28">
        <f t="shared" si="21"/>
        <v>0</v>
      </c>
      <c r="W51" s="28">
        <f t="shared" si="21"/>
        <v>0</v>
      </c>
    </row>
    <row r="52" spans="2:23" x14ac:dyDescent="0.25">
      <c r="B52" s="54" t="s">
        <v>127</v>
      </c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</row>
    <row r="54" spans="2:23" x14ac:dyDescent="0.25">
      <c r="B54" s="27" t="s">
        <v>47</v>
      </c>
      <c r="C54" s="52">
        <f>SUM(C51:W51)</f>
        <v>8.5</v>
      </c>
    </row>
    <row r="55" spans="2:23" x14ac:dyDescent="0.25">
      <c r="B55" s="27" t="s">
        <v>48</v>
      </c>
      <c r="C55" s="59">
        <f>IRR(C49:W49)</f>
        <v>0.10460280405410005</v>
      </c>
    </row>
    <row r="56" spans="2:23" x14ac:dyDescent="0.25">
      <c r="B56" s="27"/>
    </row>
    <row r="57" spans="2:23" x14ac:dyDescent="0.25">
      <c r="B57" s="27" t="s">
        <v>51</v>
      </c>
      <c r="C57" s="43">
        <f>E21/D9</f>
        <v>1333.3333333333333</v>
      </c>
      <c r="D57" s="29" t="s">
        <v>52</v>
      </c>
    </row>
    <row r="58" spans="2:23" x14ac:dyDescent="0.25">
      <c r="B58" s="27" t="s">
        <v>130</v>
      </c>
      <c r="C58" s="45">
        <f>SUM(D49:W49)/20/D9</f>
        <v>159.38466939022911</v>
      </c>
      <c r="D58" s="29" t="s">
        <v>54</v>
      </c>
    </row>
    <row r="59" spans="2:23" x14ac:dyDescent="0.25">
      <c r="B59" s="27" t="s">
        <v>128</v>
      </c>
      <c r="C59" s="43">
        <f>SUM(D49:W49)/D9</f>
        <v>3187.693387804582</v>
      </c>
      <c r="D59" s="29" t="s">
        <v>52</v>
      </c>
    </row>
    <row r="60" spans="2:23" x14ac:dyDescent="0.25">
      <c r="B60" s="27" t="s">
        <v>129</v>
      </c>
      <c r="C60" s="83">
        <f>W50/D9</f>
        <v>1854.3600544712483</v>
      </c>
      <c r="D60" s="29" t="s">
        <v>52</v>
      </c>
    </row>
  </sheetData>
  <pageMargins left="0.7" right="0.7" top="0.75" bottom="0.75" header="0.3" footer="0.3"/>
  <pageSetup paperSize="9" orientation="portrait" r:id="rId1"/>
  <ignoredErrors>
    <ignoredError sqref="D41:W4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2:W91"/>
  <sheetViews>
    <sheetView showGridLines="0" topLeftCell="A66" zoomScale="90" zoomScaleNormal="90" workbookViewId="0">
      <selection activeCell="C87" sqref="C87"/>
    </sheetView>
  </sheetViews>
  <sheetFormatPr defaultColWidth="8.90625" defaultRowHeight="11.5" x14ac:dyDescent="0.25"/>
  <cols>
    <col min="1" max="1" width="8.90625" style="29"/>
    <col min="2" max="2" width="40.81640625" style="29" customWidth="1"/>
    <col min="3" max="3" width="8.90625" style="28" customWidth="1"/>
    <col min="4" max="4" width="10.453125" style="29" bestFit="1" customWidth="1"/>
    <col min="5" max="6" width="8.90625" style="29"/>
    <col min="7" max="7" width="8.90625" style="29" customWidth="1"/>
    <col min="8" max="8" width="8.90625" style="28" customWidth="1"/>
    <col min="9" max="10" width="8.90625" style="29" customWidth="1"/>
    <col min="11" max="11" width="8.90625" style="29"/>
    <col min="12" max="12" width="8.90625" style="29" customWidth="1"/>
    <col min="13" max="16384" width="8.90625" style="29"/>
  </cols>
  <sheetData>
    <row r="2" spans="2:12" x14ac:dyDescent="0.25">
      <c r="B2" s="84" t="s">
        <v>134</v>
      </c>
      <c r="H2" s="86" t="s">
        <v>135</v>
      </c>
    </row>
    <row r="4" spans="2:12" x14ac:dyDescent="0.25">
      <c r="B4" s="27" t="s">
        <v>0</v>
      </c>
      <c r="G4" s="27"/>
    </row>
    <row r="6" spans="2:12" x14ac:dyDescent="0.25">
      <c r="B6" s="30" t="s">
        <v>1</v>
      </c>
      <c r="C6" s="31" t="s">
        <v>4</v>
      </c>
      <c r="D6" s="31" t="s">
        <v>11</v>
      </c>
      <c r="H6" s="31"/>
      <c r="J6" s="27"/>
    </row>
    <row r="7" spans="2:12" x14ac:dyDescent="0.25">
      <c r="B7" s="32" t="s">
        <v>10</v>
      </c>
      <c r="C7" s="28" t="s">
        <v>5</v>
      </c>
      <c r="D7" s="33">
        <v>200</v>
      </c>
      <c r="G7" s="32"/>
      <c r="H7" s="29"/>
      <c r="J7" s="35"/>
      <c r="L7" s="36"/>
    </row>
    <row r="8" spans="2:12" x14ac:dyDescent="0.25">
      <c r="B8" s="32" t="s">
        <v>9</v>
      </c>
      <c r="C8" s="28" t="s">
        <v>6</v>
      </c>
      <c r="D8" s="33">
        <v>1200</v>
      </c>
      <c r="G8" s="32"/>
    </row>
    <row r="9" spans="2:12" x14ac:dyDescent="0.25">
      <c r="B9" s="32" t="s">
        <v>21</v>
      </c>
      <c r="D9" s="85">
        <v>180</v>
      </c>
      <c r="G9" s="32"/>
    </row>
    <row r="10" spans="2:12" x14ac:dyDescent="0.25">
      <c r="B10" s="32" t="s">
        <v>35</v>
      </c>
      <c r="C10" s="28" t="s">
        <v>7</v>
      </c>
      <c r="D10" s="37">
        <v>0</v>
      </c>
      <c r="G10" s="32"/>
      <c r="L10" s="38"/>
    </row>
    <row r="11" spans="2:12" x14ac:dyDescent="0.25">
      <c r="B11" s="32" t="s">
        <v>8</v>
      </c>
      <c r="C11" s="28" t="s">
        <v>7</v>
      </c>
      <c r="D11" s="37">
        <v>0.75</v>
      </c>
      <c r="G11" s="32"/>
      <c r="L11" s="39"/>
    </row>
    <row r="12" spans="2:12" x14ac:dyDescent="0.25">
      <c r="B12" s="32" t="s">
        <v>38</v>
      </c>
      <c r="C12" s="28" t="s">
        <v>39</v>
      </c>
      <c r="D12" s="40">
        <v>20</v>
      </c>
      <c r="G12" s="32"/>
      <c r="L12" s="39"/>
    </row>
    <row r="13" spans="2:12" x14ac:dyDescent="0.25">
      <c r="B13" s="32" t="s">
        <v>49</v>
      </c>
      <c r="D13" s="41">
        <v>-4.0000000000000001E-3</v>
      </c>
      <c r="G13" s="32"/>
      <c r="L13" s="39"/>
    </row>
    <row r="15" spans="2:12" x14ac:dyDescent="0.25">
      <c r="B15" s="30" t="s">
        <v>3</v>
      </c>
      <c r="G15" s="30"/>
    </row>
    <row r="16" spans="2:12" x14ac:dyDescent="0.25">
      <c r="B16" s="32" t="s">
        <v>13</v>
      </c>
      <c r="C16" s="28" t="s">
        <v>12</v>
      </c>
      <c r="D16" s="42">
        <v>9.6000000000000002E-2</v>
      </c>
      <c r="G16" s="32"/>
    </row>
    <row r="17" spans="1:23" x14ac:dyDescent="0.25">
      <c r="B17" s="32" t="s">
        <v>14</v>
      </c>
      <c r="C17" s="28" t="s">
        <v>12</v>
      </c>
      <c r="D17" s="42">
        <f>D16+0.15</f>
        <v>0.246</v>
      </c>
      <c r="G17" s="32"/>
    </row>
    <row r="18" spans="1:23" x14ac:dyDescent="0.25">
      <c r="B18" s="32" t="s">
        <v>15</v>
      </c>
      <c r="C18" s="28" t="s">
        <v>12</v>
      </c>
      <c r="D18" s="42">
        <v>0.11</v>
      </c>
      <c r="G18" s="32"/>
    </row>
    <row r="19" spans="1:23" x14ac:dyDescent="0.25">
      <c r="B19" s="32" t="s">
        <v>19</v>
      </c>
      <c r="C19" s="28" t="s">
        <v>12</v>
      </c>
      <c r="D19" s="42">
        <v>8.5000000000000006E-3</v>
      </c>
      <c r="G19" s="32"/>
    </row>
    <row r="20" spans="1:23" x14ac:dyDescent="0.25">
      <c r="G20" s="32"/>
    </row>
    <row r="21" spans="1:23" x14ac:dyDescent="0.25">
      <c r="B21" s="32" t="s">
        <v>16</v>
      </c>
      <c r="C21" s="28" t="s">
        <v>17</v>
      </c>
      <c r="D21" s="33">
        <v>1200</v>
      </c>
      <c r="E21" s="35">
        <f>D21*D7</f>
        <v>240000</v>
      </c>
      <c r="G21" s="32"/>
    </row>
    <row r="22" spans="1:23" x14ac:dyDescent="0.25">
      <c r="B22" s="32" t="s">
        <v>18</v>
      </c>
      <c r="C22" s="28" t="s">
        <v>20</v>
      </c>
      <c r="D22" s="44">
        <v>3.5000000000000003E-2</v>
      </c>
      <c r="G22" s="32"/>
    </row>
    <row r="23" spans="1:23" x14ac:dyDescent="0.25">
      <c r="B23" s="32" t="s">
        <v>42</v>
      </c>
      <c r="C23" s="28" t="s">
        <v>7</v>
      </c>
      <c r="D23" s="37">
        <v>0.28000000000000003</v>
      </c>
      <c r="G23" s="32"/>
    </row>
    <row r="24" spans="1:23" x14ac:dyDescent="0.25">
      <c r="B24" s="32"/>
      <c r="G24" s="32"/>
    </row>
    <row r="25" spans="1:23" x14ac:dyDescent="0.25">
      <c r="B25" s="32" t="s">
        <v>96</v>
      </c>
      <c r="C25" s="28" t="s">
        <v>7</v>
      </c>
      <c r="D25" s="37">
        <v>0.7</v>
      </c>
      <c r="G25" s="32"/>
    </row>
    <row r="26" spans="1:23" x14ac:dyDescent="0.25">
      <c r="B26" s="32" t="s">
        <v>98</v>
      </c>
      <c r="C26" s="28" t="s">
        <v>7</v>
      </c>
      <c r="D26" s="37">
        <v>0.05</v>
      </c>
      <c r="G26" s="32"/>
    </row>
    <row r="27" spans="1:23" x14ac:dyDescent="0.25">
      <c r="B27" s="32" t="s">
        <v>99</v>
      </c>
      <c r="C27" s="28" t="s">
        <v>39</v>
      </c>
      <c r="D27" s="40">
        <v>12</v>
      </c>
      <c r="G27" s="32"/>
    </row>
    <row r="28" spans="1:23" x14ac:dyDescent="0.25">
      <c r="B28" s="32" t="s">
        <v>97</v>
      </c>
      <c r="C28" s="28" t="s">
        <v>58</v>
      </c>
      <c r="D28" s="35">
        <f>PMT(D26,D27,-D25*E21,0)</f>
        <v>18954.66888349699</v>
      </c>
      <c r="G28" s="32"/>
    </row>
    <row r="30" spans="1:23" x14ac:dyDescent="0.25">
      <c r="B30" s="54" t="s">
        <v>66</v>
      </c>
      <c r="C30" s="55">
        <v>0</v>
      </c>
      <c r="D30" s="55">
        <v>1</v>
      </c>
      <c r="E30" s="55">
        <v>2</v>
      </c>
      <c r="F30" s="55">
        <v>3</v>
      </c>
      <c r="G30" s="55">
        <v>4</v>
      </c>
      <c r="H30" s="55">
        <v>5</v>
      </c>
      <c r="I30" s="55">
        <v>6</v>
      </c>
      <c r="J30" s="55">
        <v>7</v>
      </c>
      <c r="K30" s="55">
        <v>8</v>
      </c>
      <c r="L30" s="55">
        <v>9</v>
      </c>
      <c r="M30" s="55">
        <v>10</v>
      </c>
      <c r="N30" s="55">
        <v>11</v>
      </c>
      <c r="O30" s="55">
        <v>12</v>
      </c>
      <c r="P30" s="55">
        <v>13</v>
      </c>
      <c r="Q30" s="55">
        <v>14</v>
      </c>
      <c r="R30" s="55">
        <v>15</v>
      </c>
      <c r="S30" s="55">
        <v>16</v>
      </c>
      <c r="T30" s="55">
        <v>17</v>
      </c>
      <c r="U30" s="55">
        <v>18</v>
      </c>
      <c r="V30" s="55">
        <v>19</v>
      </c>
      <c r="W30" s="55">
        <v>20</v>
      </c>
    </row>
    <row r="31" spans="1:23" x14ac:dyDescent="0.25">
      <c r="A31" s="35">
        <f>AVERAGE(D31:W31)</f>
        <v>231095.20619579073</v>
      </c>
      <c r="B31" s="29" t="s">
        <v>25</v>
      </c>
      <c r="D31" s="35">
        <f>$D$7*$D$8</f>
        <v>240000</v>
      </c>
      <c r="E31" s="35">
        <f>D31*(1+$D$13)</f>
        <v>239040</v>
      </c>
      <c r="F31" s="35">
        <f t="shared" ref="F31:W31" si="0">E31*(1+$D$13)</f>
        <v>238083.84</v>
      </c>
      <c r="G31" s="35">
        <f t="shared" si="0"/>
        <v>237131.50464</v>
      </c>
      <c r="H31" s="35">
        <f t="shared" si="0"/>
        <v>236182.97862144001</v>
      </c>
      <c r="I31" s="35">
        <f t="shared" si="0"/>
        <v>235238.24670695426</v>
      </c>
      <c r="J31" s="35">
        <f t="shared" si="0"/>
        <v>234297.29372012644</v>
      </c>
      <c r="K31" s="35">
        <f t="shared" si="0"/>
        <v>233360.10454524594</v>
      </c>
      <c r="L31" s="35">
        <f t="shared" si="0"/>
        <v>232426.66412706496</v>
      </c>
      <c r="M31" s="35">
        <f t="shared" si="0"/>
        <v>231496.95747055669</v>
      </c>
      <c r="N31" s="35">
        <f t="shared" si="0"/>
        <v>230570.96964067448</v>
      </c>
      <c r="O31" s="35">
        <f t="shared" si="0"/>
        <v>229648.68576211177</v>
      </c>
      <c r="P31" s="35">
        <f t="shared" si="0"/>
        <v>228730.09101906331</v>
      </c>
      <c r="Q31" s="35">
        <f t="shared" si="0"/>
        <v>227815.17065498707</v>
      </c>
      <c r="R31" s="35">
        <f t="shared" si="0"/>
        <v>226903.90997236711</v>
      </c>
      <c r="S31" s="35">
        <f t="shared" si="0"/>
        <v>225996.29433247764</v>
      </c>
      <c r="T31" s="35">
        <f t="shared" si="0"/>
        <v>225092.30915514773</v>
      </c>
      <c r="U31" s="35">
        <f t="shared" si="0"/>
        <v>224191.93991852715</v>
      </c>
      <c r="V31" s="35">
        <f t="shared" si="0"/>
        <v>223295.17215885303</v>
      </c>
      <c r="W31" s="35">
        <f t="shared" si="0"/>
        <v>222401.99147021762</v>
      </c>
    </row>
    <row r="32" spans="1:23" x14ac:dyDescent="0.25">
      <c r="B32" s="29" t="s">
        <v>26</v>
      </c>
      <c r="D32" s="35">
        <f>$D$10*D31</f>
        <v>0</v>
      </c>
      <c r="E32" s="35">
        <f t="shared" ref="E32:W32" si="1">$D$10*E31</f>
        <v>0</v>
      </c>
      <c r="F32" s="35">
        <f t="shared" si="1"/>
        <v>0</v>
      </c>
      <c r="G32" s="35">
        <f t="shared" si="1"/>
        <v>0</v>
      </c>
      <c r="H32" s="35">
        <f t="shared" si="1"/>
        <v>0</v>
      </c>
      <c r="I32" s="35">
        <f t="shared" si="1"/>
        <v>0</v>
      </c>
      <c r="J32" s="35">
        <f t="shared" si="1"/>
        <v>0</v>
      </c>
      <c r="K32" s="35">
        <f t="shared" si="1"/>
        <v>0</v>
      </c>
      <c r="L32" s="35">
        <f t="shared" si="1"/>
        <v>0</v>
      </c>
      <c r="M32" s="35">
        <f t="shared" si="1"/>
        <v>0</v>
      </c>
      <c r="N32" s="35">
        <f t="shared" si="1"/>
        <v>0</v>
      </c>
      <c r="O32" s="35">
        <f t="shared" si="1"/>
        <v>0</v>
      </c>
      <c r="P32" s="35">
        <f t="shared" si="1"/>
        <v>0</v>
      </c>
      <c r="Q32" s="35">
        <f t="shared" si="1"/>
        <v>0</v>
      </c>
      <c r="R32" s="35">
        <f t="shared" si="1"/>
        <v>0</v>
      </c>
      <c r="S32" s="35">
        <f t="shared" si="1"/>
        <v>0</v>
      </c>
      <c r="T32" s="35">
        <f t="shared" si="1"/>
        <v>0</v>
      </c>
      <c r="U32" s="35">
        <f t="shared" si="1"/>
        <v>0</v>
      </c>
      <c r="V32" s="35">
        <f t="shared" si="1"/>
        <v>0</v>
      </c>
      <c r="W32" s="35">
        <f t="shared" si="1"/>
        <v>0</v>
      </c>
    </row>
    <row r="33" spans="1:23" x14ac:dyDescent="0.25">
      <c r="A33" s="35">
        <f>AVERAGE(D33:W33)</f>
        <v>173321.40464684309</v>
      </c>
      <c r="B33" s="29" t="s">
        <v>27</v>
      </c>
      <c r="D33" s="35">
        <f>$D$11*D31</f>
        <v>180000</v>
      </c>
      <c r="E33" s="35">
        <f t="shared" ref="E33:W33" si="2">$D$11*E31</f>
        <v>179280</v>
      </c>
      <c r="F33" s="35">
        <f t="shared" si="2"/>
        <v>178562.88</v>
      </c>
      <c r="G33" s="35">
        <f t="shared" si="2"/>
        <v>177848.62848000001</v>
      </c>
      <c r="H33" s="35">
        <f t="shared" si="2"/>
        <v>177137.23396608001</v>
      </c>
      <c r="I33" s="35">
        <f t="shared" si="2"/>
        <v>176428.68503021571</v>
      </c>
      <c r="J33" s="35">
        <f t="shared" si="2"/>
        <v>175722.97029009485</v>
      </c>
      <c r="K33" s="35">
        <f t="shared" si="2"/>
        <v>175020.07840893447</v>
      </c>
      <c r="L33" s="35">
        <f t="shared" si="2"/>
        <v>174319.99809529871</v>
      </c>
      <c r="M33" s="35">
        <f t="shared" si="2"/>
        <v>173622.71810291751</v>
      </c>
      <c r="N33" s="35">
        <f t="shared" si="2"/>
        <v>172928.22723050584</v>
      </c>
      <c r="O33" s="35">
        <f t="shared" si="2"/>
        <v>172236.51432158382</v>
      </c>
      <c r="P33" s="35">
        <f t="shared" si="2"/>
        <v>171547.5682642975</v>
      </c>
      <c r="Q33" s="35">
        <f t="shared" si="2"/>
        <v>170861.3779912403</v>
      </c>
      <c r="R33" s="35">
        <f t="shared" si="2"/>
        <v>170177.93247927533</v>
      </c>
      <c r="S33" s="35">
        <f t="shared" si="2"/>
        <v>169497.22074935824</v>
      </c>
      <c r="T33" s="35">
        <f t="shared" si="2"/>
        <v>168819.23186636079</v>
      </c>
      <c r="U33" s="35">
        <f t="shared" si="2"/>
        <v>168143.95493889536</v>
      </c>
      <c r="V33" s="35">
        <f t="shared" si="2"/>
        <v>167471.37911913978</v>
      </c>
      <c r="W33" s="35">
        <f t="shared" si="2"/>
        <v>166801.49360266322</v>
      </c>
    </row>
    <row r="35" spans="1:23" x14ac:dyDescent="0.25">
      <c r="B35" s="54" t="s">
        <v>67</v>
      </c>
      <c r="C35" s="55">
        <v>0</v>
      </c>
      <c r="D35" s="55">
        <v>1</v>
      </c>
      <c r="E35" s="55">
        <v>2</v>
      </c>
      <c r="F35" s="55">
        <v>3</v>
      </c>
      <c r="G35" s="55">
        <v>4</v>
      </c>
      <c r="H35" s="55">
        <v>5</v>
      </c>
      <c r="I35" s="55">
        <v>6</v>
      </c>
      <c r="J35" s="55">
        <v>7</v>
      </c>
      <c r="K35" s="55">
        <v>8</v>
      </c>
      <c r="L35" s="55">
        <v>9</v>
      </c>
      <c r="M35" s="55">
        <v>10</v>
      </c>
      <c r="N35" s="55">
        <v>11</v>
      </c>
      <c r="O35" s="55">
        <v>12</v>
      </c>
      <c r="P35" s="55">
        <v>13</v>
      </c>
      <c r="Q35" s="55">
        <v>14</v>
      </c>
      <c r="R35" s="55">
        <v>15</v>
      </c>
      <c r="S35" s="55">
        <v>16</v>
      </c>
      <c r="T35" s="55">
        <v>17</v>
      </c>
      <c r="U35" s="55">
        <v>18</v>
      </c>
      <c r="V35" s="55">
        <v>19</v>
      </c>
      <c r="W35" s="55">
        <v>20</v>
      </c>
    </row>
    <row r="36" spans="1:23" x14ac:dyDescent="0.25">
      <c r="B36" s="46" t="s">
        <v>29</v>
      </c>
      <c r="C36" s="47"/>
      <c r="D36" s="48">
        <f>SUM(D37:D39)</f>
        <v>39037.5</v>
      </c>
      <c r="E36" s="48">
        <f t="shared" ref="E36:W36" si="3">SUM(E37:E39)</f>
        <v>38881.35</v>
      </c>
      <c r="F36" s="48">
        <f t="shared" si="3"/>
        <v>38725.8246</v>
      </c>
      <c r="G36" s="48">
        <f t="shared" si="3"/>
        <v>38570.921301599999</v>
      </c>
      <c r="H36" s="48">
        <f t="shared" si="3"/>
        <v>38416.6376163936</v>
      </c>
      <c r="I36" s="48">
        <f t="shared" si="3"/>
        <v>38262.971065928024</v>
      </c>
      <c r="J36" s="48">
        <f t="shared" si="3"/>
        <v>38109.919181664322</v>
      </c>
      <c r="K36" s="48">
        <f t="shared" si="3"/>
        <v>37957.479504937663</v>
      </c>
      <c r="L36" s="48">
        <f t="shared" si="3"/>
        <v>37805.649586917905</v>
      </c>
      <c r="M36" s="48">
        <f t="shared" si="3"/>
        <v>37654.426988570238</v>
      </c>
      <c r="N36" s="48">
        <f t="shared" si="3"/>
        <v>37503.809280615955</v>
      </c>
      <c r="O36" s="48">
        <f t="shared" si="3"/>
        <v>37353.794043493494</v>
      </c>
      <c r="P36" s="48">
        <f t="shared" si="3"/>
        <v>37204.378867319523</v>
      </c>
      <c r="Q36" s="48">
        <f t="shared" si="3"/>
        <v>37055.561351850236</v>
      </c>
      <c r="R36" s="48">
        <f t="shared" si="3"/>
        <v>36907.339106442836</v>
      </c>
      <c r="S36" s="48">
        <f t="shared" si="3"/>
        <v>36759.709750017064</v>
      </c>
      <c r="T36" s="48">
        <f t="shared" si="3"/>
        <v>36612.670911016998</v>
      </c>
      <c r="U36" s="48">
        <f t="shared" si="3"/>
        <v>36466.220227372934</v>
      </c>
      <c r="V36" s="48">
        <f t="shared" si="3"/>
        <v>36320.355346463439</v>
      </c>
      <c r="W36" s="48">
        <f t="shared" si="3"/>
        <v>36175.07392507758</v>
      </c>
    </row>
    <row r="37" spans="1:23" x14ac:dyDescent="0.25">
      <c r="B37" s="32" t="s">
        <v>30</v>
      </c>
      <c r="D37" s="35">
        <f>D31*$D$16</f>
        <v>23040</v>
      </c>
      <c r="E37" s="35">
        <f t="shared" ref="E37:W37" si="4">E31*$D$16</f>
        <v>22947.84</v>
      </c>
      <c r="F37" s="35">
        <f t="shared" si="4"/>
        <v>22856.048640000001</v>
      </c>
      <c r="G37" s="35">
        <f t="shared" si="4"/>
        <v>22764.62444544</v>
      </c>
      <c r="H37" s="35">
        <f t="shared" si="4"/>
        <v>22673.56594765824</v>
      </c>
      <c r="I37" s="35">
        <f t="shared" si="4"/>
        <v>22582.871683867608</v>
      </c>
      <c r="J37" s="35">
        <f t="shared" si="4"/>
        <v>22492.540197132141</v>
      </c>
      <c r="K37" s="35">
        <f t="shared" si="4"/>
        <v>22402.570036343612</v>
      </c>
      <c r="L37" s="35">
        <f t="shared" si="4"/>
        <v>22312.959756198237</v>
      </c>
      <c r="M37" s="35">
        <f t="shared" si="4"/>
        <v>22223.707917173444</v>
      </c>
      <c r="N37" s="35">
        <f t="shared" si="4"/>
        <v>22134.813085504749</v>
      </c>
      <c r="O37" s="35">
        <f t="shared" si="4"/>
        <v>22046.27383316273</v>
      </c>
      <c r="P37" s="35">
        <f t="shared" si="4"/>
        <v>21958.088737830079</v>
      </c>
      <c r="Q37" s="35">
        <f t="shared" si="4"/>
        <v>21870.256382878761</v>
      </c>
      <c r="R37" s="35">
        <f t="shared" si="4"/>
        <v>21782.775357347244</v>
      </c>
      <c r="S37" s="35">
        <f t="shared" si="4"/>
        <v>21695.644255917854</v>
      </c>
      <c r="T37" s="35">
        <f t="shared" si="4"/>
        <v>21608.861678894184</v>
      </c>
      <c r="U37" s="35">
        <f t="shared" si="4"/>
        <v>21522.426232178608</v>
      </c>
      <c r="V37" s="35">
        <f t="shared" si="4"/>
        <v>21436.336527249892</v>
      </c>
      <c r="W37" s="35">
        <f t="shared" si="4"/>
        <v>21350.591181140891</v>
      </c>
    </row>
    <row r="38" spans="1:23" x14ac:dyDescent="0.25">
      <c r="B38" s="32" t="s">
        <v>31</v>
      </c>
      <c r="D38" s="35">
        <f>D32*$D$17*$D$10</f>
        <v>0</v>
      </c>
      <c r="E38" s="35">
        <f t="shared" ref="E38:W38" si="5">E32*$D$17*$D$10</f>
        <v>0</v>
      </c>
      <c r="F38" s="35">
        <f t="shared" si="5"/>
        <v>0</v>
      </c>
      <c r="G38" s="35">
        <f t="shared" si="5"/>
        <v>0</v>
      </c>
      <c r="H38" s="35">
        <f t="shared" si="5"/>
        <v>0</v>
      </c>
      <c r="I38" s="35">
        <f t="shared" si="5"/>
        <v>0</v>
      </c>
      <c r="J38" s="35">
        <f t="shared" si="5"/>
        <v>0</v>
      </c>
      <c r="K38" s="35">
        <f t="shared" si="5"/>
        <v>0</v>
      </c>
      <c r="L38" s="35">
        <f t="shared" si="5"/>
        <v>0</v>
      </c>
      <c r="M38" s="35">
        <f t="shared" si="5"/>
        <v>0</v>
      </c>
      <c r="N38" s="35">
        <f t="shared" si="5"/>
        <v>0</v>
      </c>
      <c r="O38" s="35">
        <f t="shared" si="5"/>
        <v>0</v>
      </c>
      <c r="P38" s="35">
        <f t="shared" si="5"/>
        <v>0</v>
      </c>
      <c r="Q38" s="35">
        <f t="shared" si="5"/>
        <v>0</v>
      </c>
      <c r="R38" s="35">
        <f t="shared" si="5"/>
        <v>0</v>
      </c>
      <c r="S38" s="35">
        <f t="shared" si="5"/>
        <v>0</v>
      </c>
      <c r="T38" s="35">
        <f t="shared" si="5"/>
        <v>0</v>
      </c>
      <c r="U38" s="35">
        <f t="shared" si="5"/>
        <v>0</v>
      </c>
      <c r="V38" s="35">
        <f t="shared" si="5"/>
        <v>0</v>
      </c>
      <c r="W38" s="35">
        <f t="shared" si="5"/>
        <v>0</v>
      </c>
    </row>
    <row r="39" spans="1:23" x14ac:dyDescent="0.25">
      <c r="B39" s="32" t="s">
        <v>32</v>
      </c>
      <c r="D39" s="35">
        <f>D33*($D$18+$D$19)*$D$11</f>
        <v>15997.5</v>
      </c>
      <c r="E39" s="35">
        <f t="shared" ref="E39:W39" si="6">E33*($D$18+$D$19)*$D$11</f>
        <v>15933.51</v>
      </c>
      <c r="F39" s="35">
        <f t="shared" si="6"/>
        <v>15869.775960000001</v>
      </c>
      <c r="G39" s="35">
        <f t="shared" si="6"/>
        <v>15806.296856159999</v>
      </c>
      <c r="H39" s="35">
        <f t="shared" si="6"/>
        <v>15743.07166873536</v>
      </c>
      <c r="I39" s="35">
        <f t="shared" si="6"/>
        <v>15680.09938206042</v>
      </c>
      <c r="J39" s="35">
        <f t="shared" si="6"/>
        <v>15617.378984532179</v>
      </c>
      <c r="K39" s="35">
        <f t="shared" si="6"/>
        <v>15554.909468594049</v>
      </c>
      <c r="L39" s="35">
        <f t="shared" si="6"/>
        <v>15492.689830719672</v>
      </c>
      <c r="M39" s="35">
        <f t="shared" si="6"/>
        <v>15430.719071396794</v>
      </c>
      <c r="N39" s="35">
        <f t="shared" si="6"/>
        <v>15368.996195111207</v>
      </c>
      <c r="O39" s="35">
        <f t="shared" si="6"/>
        <v>15307.520210330762</v>
      </c>
      <c r="P39" s="35">
        <f t="shared" si="6"/>
        <v>15246.29012948944</v>
      </c>
      <c r="Q39" s="35">
        <f t="shared" si="6"/>
        <v>15185.304968971479</v>
      </c>
      <c r="R39" s="35">
        <f t="shared" si="6"/>
        <v>15124.563749095594</v>
      </c>
      <c r="S39" s="35">
        <f t="shared" si="6"/>
        <v>15064.065494099214</v>
      </c>
      <c r="T39" s="35">
        <f t="shared" si="6"/>
        <v>15003.809232122814</v>
      </c>
      <c r="U39" s="35">
        <f t="shared" si="6"/>
        <v>14943.793995194324</v>
      </c>
      <c r="V39" s="35">
        <f t="shared" si="6"/>
        <v>14884.018819213547</v>
      </c>
      <c r="W39" s="35">
        <f t="shared" si="6"/>
        <v>14824.482743936693</v>
      </c>
    </row>
    <row r="40" spans="1:23" x14ac:dyDescent="0.25">
      <c r="B40" s="46" t="s">
        <v>33</v>
      </c>
      <c r="C40" s="47"/>
      <c r="D40" s="48">
        <f>D41</f>
        <v>-8400.0000000000018</v>
      </c>
      <c r="E40" s="48">
        <f t="shared" ref="E40:W40" si="7">E41</f>
        <v>-8400.0000000000018</v>
      </c>
      <c r="F40" s="48">
        <f t="shared" si="7"/>
        <v>-8400.0000000000018</v>
      </c>
      <c r="G40" s="48">
        <f t="shared" si="7"/>
        <v>-8400.0000000000018</v>
      </c>
      <c r="H40" s="48">
        <f t="shared" si="7"/>
        <v>-8400.0000000000018</v>
      </c>
      <c r="I40" s="48">
        <f t="shared" si="7"/>
        <v>-8400.0000000000018</v>
      </c>
      <c r="J40" s="48">
        <f t="shared" si="7"/>
        <v>-8400.0000000000018</v>
      </c>
      <c r="K40" s="48">
        <f t="shared" si="7"/>
        <v>-8400.0000000000018</v>
      </c>
      <c r="L40" s="48">
        <f t="shared" si="7"/>
        <v>-8400.0000000000018</v>
      </c>
      <c r="M40" s="48">
        <f t="shared" si="7"/>
        <v>-8400.0000000000018</v>
      </c>
      <c r="N40" s="48">
        <f t="shared" si="7"/>
        <v>-8400.0000000000018</v>
      </c>
      <c r="O40" s="48">
        <f t="shared" si="7"/>
        <v>-8400.0000000000018</v>
      </c>
      <c r="P40" s="48">
        <f t="shared" si="7"/>
        <v>-8400.0000000000018</v>
      </c>
      <c r="Q40" s="48">
        <f t="shared" si="7"/>
        <v>-8400.0000000000018</v>
      </c>
      <c r="R40" s="48">
        <f t="shared" si="7"/>
        <v>-8400.0000000000018</v>
      </c>
      <c r="S40" s="48">
        <f t="shared" si="7"/>
        <v>-8400.0000000000018</v>
      </c>
      <c r="T40" s="48">
        <f t="shared" si="7"/>
        <v>-8400.0000000000018</v>
      </c>
      <c r="U40" s="48">
        <f t="shared" si="7"/>
        <v>-8400.0000000000018</v>
      </c>
      <c r="V40" s="48">
        <f t="shared" si="7"/>
        <v>-8400.0000000000018</v>
      </c>
      <c r="W40" s="48">
        <f t="shared" si="7"/>
        <v>-8400.0000000000018</v>
      </c>
    </row>
    <row r="41" spans="1:23" x14ac:dyDescent="0.25">
      <c r="B41" s="32" t="s">
        <v>18</v>
      </c>
      <c r="D41" s="35">
        <f>-$D$22*$D$7*$D$21</f>
        <v>-8400.0000000000018</v>
      </c>
      <c r="E41" s="35">
        <f t="shared" ref="E41:W41" si="8">-$D$22*$D$7*$D$21</f>
        <v>-8400.0000000000018</v>
      </c>
      <c r="F41" s="35">
        <f t="shared" si="8"/>
        <v>-8400.0000000000018</v>
      </c>
      <c r="G41" s="35">
        <f t="shared" si="8"/>
        <v>-8400.0000000000018</v>
      </c>
      <c r="H41" s="35">
        <f t="shared" si="8"/>
        <v>-8400.0000000000018</v>
      </c>
      <c r="I41" s="35">
        <f t="shared" si="8"/>
        <v>-8400.0000000000018</v>
      </c>
      <c r="J41" s="35">
        <f t="shared" si="8"/>
        <v>-8400.0000000000018</v>
      </c>
      <c r="K41" s="35">
        <f t="shared" si="8"/>
        <v>-8400.0000000000018</v>
      </c>
      <c r="L41" s="35">
        <f t="shared" si="8"/>
        <v>-8400.0000000000018</v>
      </c>
      <c r="M41" s="35">
        <f t="shared" si="8"/>
        <v>-8400.0000000000018</v>
      </c>
      <c r="N41" s="35">
        <f t="shared" si="8"/>
        <v>-8400.0000000000018</v>
      </c>
      <c r="O41" s="35">
        <f t="shared" si="8"/>
        <v>-8400.0000000000018</v>
      </c>
      <c r="P41" s="35">
        <f t="shared" si="8"/>
        <v>-8400.0000000000018</v>
      </c>
      <c r="Q41" s="35">
        <f t="shared" si="8"/>
        <v>-8400.0000000000018</v>
      </c>
      <c r="R41" s="35">
        <f t="shared" si="8"/>
        <v>-8400.0000000000018</v>
      </c>
      <c r="S41" s="35">
        <f t="shared" si="8"/>
        <v>-8400.0000000000018</v>
      </c>
      <c r="T41" s="35">
        <f t="shared" si="8"/>
        <v>-8400.0000000000018</v>
      </c>
      <c r="U41" s="35">
        <f t="shared" si="8"/>
        <v>-8400.0000000000018</v>
      </c>
      <c r="V41" s="35">
        <f t="shared" si="8"/>
        <v>-8400.0000000000018</v>
      </c>
      <c r="W41" s="35">
        <f t="shared" si="8"/>
        <v>-8400.0000000000018</v>
      </c>
    </row>
    <row r="42" spans="1:23" x14ac:dyDescent="0.25">
      <c r="B42" s="49" t="s">
        <v>36</v>
      </c>
      <c r="C42" s="50"/>
      <c r="D42" s="51">
        <f>D36+D40</f>
        <v>30637.5</v>
      </c>
      <c r="E42" s="51">
        <f t="shared" ref="E42:W42" si="9">E36+E40</f>
        <v>30481.35</v>
      </c>
      <c r="F42" s="51">
        <f t="shared" si="9"/>
        <v>30325.8246</v>
      </c>
      <c r="G42" s="51">
        <f t="shared" si="9"/>
        <v>30170.921301599999</v>
      </c>
      <c r="H42" s="51">
        <f t="shared" si="9"/>
        <v>30016.6376163936</v>
      </c>
      <c r="I42" s="51">
        <f t="shared" si="9"/>
        <v>29862.971065928024</v>
      </c>
      <c r="J42" s="51">
        <f t="shared" si="9"/>
        <v>29709.919181664322</v>
      </c>
      <c r="K42" s="51">
        <f t="shared" si="9"/>
        <v>29557.479504937663</v>
      </c>
      <c r="L42" s="51">
        <f t="shared" si="9"/>
        <v>29405.649586917905</v>
      </c>
      <c r="M42" s="51">
        <f t="shared" si="9"/>
        <v>29254.426988570238</v>
      </c>
      <c r="N42" s="51">
        <f t="shared" si="9"/>
        <v>29103.809280615955</v>
      </c>
      <c r="O42" s="51">
        <f t="shared" si="9"/>
        <v>28953.794043493494</v>
      </c>
      <c r="P42" s="51">
        <f t="shared" si="9"/>
        <v>28804.378867319523</v>
      </c>
      <c r="Q42" s="51">
        <f t="shared" si="9"/>
        <v>28655.561351850236</v>
      </c>
      <c r="R42" s="51">
        <f t="shared" si="9"/>
        <v>28507.339106442836</v>
      </c>
      <c r="S42" s="51">
        <f t="shared" si="9"/>
        <v>28359.709750017064</v>
      </c>
      <c r="T42" s="51">
        <f t="shared" si="9"/>
        <v>28212.670911016998</v>
      </c>
      <c r="U42" s="51">
        <f t="shared" si="9"/>
        <v>28066.220227372934</v>
      </c>
      <c r="V42" s="51">
        <f t="shared" si="9"/>
        <v>27920.355346463439</v>
      </c>
      <c r="W42" s="51">
        <f t="shared" si="9"/>
        <v>27775.07392507758</v>
      </c>
    </row>
    <row r="43" spans="1:23" x14ac:dyDescent="0.25">
      <c r="B43" s="32" t="s">
        <v>37</v>
      </c>
      <c r="D43" s="35">
        <f>-$E$21/$D$12</f>
        <v>-12000</v>
      </c>
      <c r="E43" s="35">
        <f t="shared" ref="E43:W43" si="10">-$E$21/$D$12</f>
        <v>-12000</v>
      </c>
      <c r="F43" s="35">
        <f t="shared" si="10"/>
        <v>-12000</v>
      </c>
      <c r="G43" s="35">
        <f t="shared" si="10"/>
        <v>-12000</v>
      </c>
      <c r="H43" s="35">
        <f t="shared" si="10"/>
        <v>-12000</v>
      </c>
      <c r="I43" s="35">
        <f t="shared" si="10"/>
        <v>-12000</v>
      </c>
      <c r="J43" s="35">
        <f t="shared" si="10"/>
        <v>-12000</v>
      </c>
      <c r="K43" s="35">
        <f t="shared" si="10"/>
        <v>-12000</v>
      </c>
      <c r="L43" s="35">
        <f t="shared" si="10"/>
        <v>-12000</v>
      </c>
      <c r="M43" s="35">
        <f t="shared" si="10"/>
        <v>-12000</v>
      </c>
      <c r="N43" s="35">
        <f t="shared" si="10"/>
        <v>-12000</v>
      </c>
      <c r="O43" s="35">
        <f t="shared" si="10"/>
        <v>-12000</v>
      </c>
      <c r="P43" s="35">
        <f t="shared" si="10"/>
        <v>-12000</v>
      </c>
      <c r="Q43" s="35">
        <f t="shared" si="10"/>
        <v>-12000</v>
      </c>
      <c r="R43" s="35">
        <f t="shared" si="10"/>
        <v>-12000</v>
      </c>
      <c r="S43" s="35">
        <f t="shared" si="10"/>
        <v>-12000</v>
      </c>
      <c r="T43" s="35">
        <f t="shared" si="10"/>
        <v>-12000</v>
      </c>
      <c r="U43" s="35">
        <f t="shared" si="10"/>
        <v>-12000</v>
      </c>
      <c r="V43" s="35">
        <f t="shared" si="10"/>
        <v>-12000</v>
      </c>
      <c r="W43" s="35">
        <f t="shared" si="10"/>
        <v>-12000</v>
      </c>
    </row>
    <row r="44" spans="1:23" x14ac:dyDescent="0.25">
      <c r="B44" s="49" t="s">
        <v>40</v>
      </c>
      <c r="C44" s="50"/>
      <c r="D44" s="51">
        <f>D42+D43</f>
        <v>18637.5</v>
      </c>
      <c r="E44" s="51">
        <f t="shared" ref="E44:W46" si="11">E42+E43</f>
        <v>18481.349999999999</v>
      </c>
      <c r="F44" s="51">
        <f t="shared" si="11"/>
        <v>18325.8246</v>
      </c>
      <c r="G44" s="51">
        <f t="shared" si="11"/>
        <v>18170.921301599999</v>
      </c>
      <c r="H44" s="51">
        <f t="shared" si="11"/>
        <v>18016.6376163936</v>
      </c>
      <c r="I44" s="51">
        <f t="shared" si="11"/>
        <v>17862.971065928024</v>
      </c>
      <c r="J44" s="51">
        <f t="shared" si="11"/>
        <v>17709.919181664322</v>
      </c>
      <c r="K44" s="51">
        <f t="shared" si="11"/>
        <v>17557.479504937663</v>
      </c>
      <c r="L44" s="51">
        <f t="shared" si="11"/>
        <v>17405.649586917905</v>
      </c>
      <c r="M44" s="51">
        <f t="shared" si="11"/>
        <v>17254.426988570238</v>
      </c>
      <c r="N44" s="51">
        <f t="shared" si="11"/>
        <v>17103.809280615955</v>
      </c>
      <c r="O44" s="51">
        <f t="shared" si="11"/>
        <v>16953.794043493494</v>
      </c>
      <c r="P44" s="51">
        <f t="shared" si="11"/>
        <v>16804.378867319523</v>
      </c>
      <c r="Q44" s="51">
        <f t="shared" si="11"/>
        <v>16655.561351850236</v>
      </c>
      <c r="R44" s="51">
        <f t="shared" si="11"/>
        <v>16507.339106442836</v>
      </c>
      <c r="S44" s="51">
        <f t="shared" si="11"/>
        <v>16359.709750017064</v>
      </c>
      <c r="T44" s="51">
        <f t="shared" si="11"/>
        <v>16212.670911016998</v>
      </c>
      <c r="U44" s="51">
        <f t="shared" si="11"/>
        <v>16066.220227372934</v>
      </c>
      <c r="V44" s="51">
        <f t="shared" si="11"/>
        <v>15920.355346463439</v>
      </c>
      <c r="W44" s="51">
        <f t="shared" si="11"/>
        <v>15775.07392507758</v>
      </c>
    </row>
    <row r="45" spans="1:23" x14ac:dyDescent="0.25">
      <c r="B45" s="64" t="s">
        <v>109</v>
      </c>
      <c r="C45" s="62"/>
      <c r="D45" s="65">
        <f>IF(D30&gt;$D$27,0,-$D$26*D58)</f>
        <v>-8400</v>
      </c>
      <c r="E45" s="65">
        <f t="shared" ref="E45:W45" si="12">IF(E30&gt;$D$27,0,-$D$26*E58)</f>
        <v>-7872.266555825151</v>
      </c>
      <c r="F45" s="65">
        <f t="shared" si="12"/>
        <v>-7318.1464394415589</v>
      </c>
      <c r="G45" s="65">
        <f t="shared" si="12"/>
        <v>-6736.3203172387875</v>
      </c>
      <c r="H45" s="65">
        <f t="shared" si="12"/>
        <v>-6125.4028889258771</v>
      </c>
      <c r="I45" s="65">
        <f t="shared" si="12"/>
        <v>-5483.9395891973218</v>
      </c>
      <c r="J45" s="65">
        <f t="shared" si="12"/>
        <v>-4810.4031244823373</v>
      </c>
      <c r="K45" s="65">
        <f t="shared" si="12"/>
        <v>-4103.1898365316047</v>
      </c>
      <c r="L45" s="65">
        <f t="shared" si="12"/>
        <v>-3360.6158841833358</v>
      </c>
      <c r="M45" s="65">
        <f t="shared" si="12"/>
        <v>-2580.9132342176526</v>
      </c>
      <c r="N45" s="65">
        <f t="shared" si="12"/>
        <v>-1762.2254517536858</v>
      </c>
      <c r="O45" s="65">
        <f t="shared" si="12"/>
        <v>-902.60328016652056</v>
      </c>
      <c r="P45" s="65">
        <f t="shared" si="12"/>
        <v>0</v>
      </c>
      <c r="Q45" s="65">
        <f t="shared" si="12"/>
        <v>0</v>
      </c>
      <c r="R45" s="65">
        <f t="shared" si="12"/>
        <v>0</v>
      </c>
      <c r="S45" s="65">
        <f t="shared" si="12"/>
        <v>0</v>
      </c>
      <c r="T45" s="65">
        <f t="shared" si="12"/>
        <v>0</v>
      </c>
      <c r="U45" s="65">
        <f t="shared" si="12"/>
        <v>0</v>
      </c>
      <c r="V45" s="65">
        <f t="shared" si="12"/>
        <v>0</v>
      </c>
      <c r="W45" s="65">
        <f t="shared" si="12"/>
        <v>0</v>
      </c>
    </row>
    <row r="46" spans="1:23" x14ac:dyDescent="0.25">
      <c r="B46" s="49" t="s">
        <v>113</v>
      </c>
      <c r="C46" s="50"/>
      <c r="D46" s="51">
        <f>D44+D45</f>
        <v>10237.5</v>
      </c>
      <c r="E46" s="51">
        <f t="shared" si="11"/>
        <v>10609.083444174848</v>
      </c>
      <c r="F46" s="51">
        <f t="shared" si="11"/>
        <v>11007.67816055844</v>
      </c>
      <c r="G46" s="51">
        <f t="shared" si="11"/>
        <v>11434.600984361212</v>
      </c>
      <c r="H46" s="51">
        <f t="shared" si="11"/>
        <v>11891.234727467723</v>
      </c>
      <c r="I46" s="51">
        <f t="shared" si="11"/>
        <v>12379.031476730703</v>
      </c>
      <c r="J46" s="51">
        <f t="shared" si="11"/>
        <v>12899.516057181983</v>
      </c>
      <c r="K46" s="51">
        <f t="shared" si="11"/>
        <v>13454.289668406058</v>
      </c>
      <c r="L46" s="51">
        <f t="shared" si="11"/>
        <v>14045.03370273457</v>
      </c>
      <c r="M46" s="51">
        <f t="shared" si="11"/>
        <v>14673.513754352585</v>
      </c>
      <c r="N46" s="51">
        <f t="shared" si="11"/>
        <v>15341.583828862269</v>
      </c>
      <c r="O46" s="51">
        <f t="shared" si="11"/>
        <v>16051.190763326973</v>
      </c>
      <c r="P46" s="51">
        <f t="shared" si="11"/>
        <v>16804.378867319523</v>
      </c>
      <c r="Q46" s="51">
        <f t="shared" si="11"/>
        <v>16655.561351850236</v>
      </c>
      <c r="R46" s="51">
        <f t="shared" si="11"/>
        <v>16507.339106442836</v>
      </c>
      <c r="S46" s="51">
        <f t="shared" si="11"/>
        <v>16359.709750017064</v>
      </c>
      <c r="T46" s="51">
        <f t="shared" si="11"/>
        <v>16212.670911016998</v>
      </c>
      <c r="U46" s="51">
        <f t="shared" si="11"/>
        <v>16066.220227372934</v>
      </c>
      <c r="V46" s="51">
        <f t="shared" si="11"/>
        <v>15920.355346463439</v>
      </c>
      <c r="W46" s="51">
        <f t="shared" si="11"/>
        <v>15775.07392507758</v>
      </c>
    </row>
    <row r="47" spans="1:23" x14ac:dyDescent="0.25">
      <c r="B47" s="32" t="s">
        <v>41</v>
      </c>
      <c r="D47" s="35">
        <f>-(D37+D41+D43)*$D$23</f>
        <v>-739.19999999999959</v>
      </c>
      <c r="E47" s="35">
        <f t="shared" ref="E47:W47" si="13">-(E37+E41+E43)*$D$23</f>
        <v>-713.39519999999959</v>
      </c>
      <c r="F47" s="35">
        <f t="shared" si="13"/>
        <v>-687.69361919999983</v>
      </c>
      <c r="G47" s="35">
        <f t="shared" si="13"/>
        <v>-662.09484472319969</v>
      </c>
      <c r="H47" s="35">
        <f t="shared" si="13"/>
        <v>-636.59846534430687</v>
      </c>
      <c r="I47" s="35">
        <f t="shared" si="13"/>
        <v>-611.20407148292986</v>
      </c>
      <c r="J47" s="35">
        <f t="shared" si="13"/>
        <v>-585.91125519699892</v>
      </c>
      <c r="K47" s="35">
        <f t="shared" si="13"/>
        <v>-560.71961017621084</v>
      </c>
      <c r="L47" s="35">
        <f t="shared" si="13"/>
        <v>-535.62873173550599</v>
      </c>
      <c r="M47" s="35">
        <f t="shared" si="13"/>
        <v>-510.63821680856387</v>
      </c>
      <c r="N47" s="35">
        <f t="shared" si="13"/>
        <v>-485.74766394132934</v>
      </c>
      <c r="O47" s="35">
        <f t="shared" si="13"/>
        <v>-460.95667328556385</v>
      </c>
      <c r="P47" s="35">
        <f t="shared" si="13"/>
        <v>-436.2648465924218</v>
      </c>
      <c r="Q47" s="35">
        <f t="shared" si="13"/>
        <v>-411.6717872060525</v>
      </c>
      <c r="R47" s="35">
        <f t="shared" si="13"/>
        <v>-387.17710005722779</v>
      </c>
      <c r="S47" s="35">
        <f t="shared" si="13"/>
        <v>-362.78039165699863</v>
      </c>
      <c r="T47" s="35">
        <f t="shared" si="13"/>
        <v>-338.48127009037091</v>
      </c>
      <c r="U47" s="35">
        <f t="shared" si="13"/>
        <v>-314.27934501000982</v>
      </c>
      <c r="V47" s="35">
        <f t="shared" si="13"/>
        <v>-290.17422762996932</v>
      </c>
      <c r="W47" s="35">
        <f t="shared" si="13"/>
        <v>-266.16553071944912</v>
      </c>
    </row>
    <row r="48" spans="1:23" x14ac:dyDescent="0.25">
      <c r="B48" s="49" t="s">
        <v>43</v>
      </c>
      <c r="C48" s="50"/>
      <c r="D48" s="51">
        <f>D46+D47</f>
        <v>9498.3000000000011</v>
      </c>
      <c r="E48" s="51">
        <f t="shared" ref="E48:W48" si="14">E46+E47</f>
        <v>9895.6882441748494</v>
      </c>
      <c r="F48" s="51">
        <f t="shared" si="14"/>
        <v>10319.984541358441</v>
      </c>
      <c r="G48" s="51">
        <f t="shared" si="14"/>
        <v>10772.506139638012</v>
      </c>
      <c r="H48" s="51">
        <f t="shared" si="14"/>
        <v>11254.636262123417</v>
      </c>
      <c r="I48" s="51">
        <f t="shared" si="14"/>
        <v>11767.827405247774</v>
      </c>
      <c r="J48" s="51">
        <f t="shared" si="14"/>
        <v>12313.604801984984</v>
      </c>
      <c r="K48" s="51">
        <f t="shared" si="14"/>
        <v>12893.570058229847</v>
      </c>
      <c r="L48" s="51">
        <f t="shared" si="14"/>
        <v>13509.404970999065</v>
      </c>
      <c r="M48" s="51">
        <f t="shared" si="14"/>
        <v>14162.875537544021</v>
      </c>
      <c r="N48" s="51">
        <f t="shared" si="14"/>
        <v>14855.83616492094</v>
      </c>
      <c r="O48" s="51">
        <f t="shared" si="14"/>
        <v>15590.234090041409</v>
      </c>
      <c r="P48" s="51">
        <f t="shared" si="14"/>
        <v>16368.114020727102</v>
      </c>
      <c r="Q48" s="51">
        <f t="shared" si="14"/>
        <v>16243.889564644183</v>
      </c>
      <c r="R48" s="51">
        <f t="shared" si="14"/>
        <v>16120.162006385608</v>
      </c>
      <c r="S48" s="51">
        <f t="shared" si="14"/>
        <v>15996.929358360065</v>
      </c>
      <c r="T48" s="51">
        <f t="shared" si="14"/>
        <v>15874.189640926626</v>
      </c>
      <c r="U48" s="51">
        <f t="shared" si="14"/>
        <v>15751.940882362924</v>
      </c>
      <c r="V48" s="51">
        <f t="shared" si="14"/>
        <v>15630.181118833469</v>
      </c>
      <c r="W48" s="51">
        <f t="shared" si="14"/>
        <v>15508.908394358132</v>
      </c>
    </row>
    <row r="49" spans="2:23" x14ac:dyDescent="0.25">
      <c r="D49" s="38">
        <f t="shared" ref="D49:W49" si="15">D48/D36</f>
        <v>0.24331219980787708</v>
      </c>
      <c r="E49" s="38">
        <f t="shared" si="15"/>
        <v>0.25450989341097596</v>
      </c>
      <c r="F49" s="38">
        <f t="shared" si="15"/>
        <v>0.26648843886357015</v>
      </c>
      <c r="G49" s="38">
        <f t="shared" si="15"/>
        <v>0.27929086928994734</v>
      </c>
      <c r="H49" s="38">
        <f t="shared" si="15"/>
        <v>0.29296255373793323</v>
      </c>
      <c r="I49" s="38">
        <f t="shared" si="15"/>
        <v>0.30755132383660228</v>
      </c>
      <c r="J49" s="38">
        <f t="shared" si="15"/>
        <v>0.32310760732101951</v>
      </c>
      <c r="K49" s="38">
        <f t="shared" si="15"/>
        <v>0.33968456879631848</v>
      </c>
      <c r="L49" s="38">
        <f t="shared" si="15"/>
        <v>0.35733825813361497</v>
      </c>
      <c r="M49" s="38">
        <f t="shared" si="15"/>
        <v>0.37612776691152605</v>
      </c>
      <c r="N49" s="38">
        <f t="shared" si="15"/>
        <v>0.3961153933395043</v>
      </c>
      <c r="O49" s="38">
        <f t="shared" si="15"/>
        <v>0.41736681612284598</v>
      </c>
      <c r="P49" s="38">
        <f t="shared" si="15"/>
        <v>0.43995127775416026</v>
      </c>
      <c r="Q49" s="38">
        <f t="shared" si="15"/>
        <v>0.43836576675779071</v>
      </c>
      <c r="R49" s="38">
        <f t="shared" si="15"/>
        <v>0.43677388824737967</v>
      </c>
      <c r="S49" s="38">
        <f t="shared" si="15"/>
        <v>0.43517561665058141</v>
      </c>
      <c r="T49" s="38">
        <f t="shared" si="15"/>
        <v>0.43357092629235022</v>
      </c>
      <c r="U49" s="38">
        <f t="shared" si="15"/>
        <v>0.43195979139452784</v>
      </c>
      <c r="V49" s="38">
        <f t="shared" si="15"/>
        <v>0.4303421860754289</v>
      </c>
      <c r="W49" s="38">
        <f t="shared" si="15"/>
        <v>0.42871808434942599</v>
      </c>
    </row>
    <row r="50" spans="2:23" x14ac:dyDescent="0.25"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</row>
    <row r="51" spans="2:23" x14ac:dyDescent="0.25">
      <c r="B51" s="54" t="s">
        <v>100</v>
      </c>
      <c r="C51" s="55">
        <v>0</v>
      </c>
      <c r="D51" s="55">
        <v>1</v>
      </c>
      <c r="E51" s="55">
        <v>2</v>
      </c>
      <c r="F51" s="55">
        <v>3</v>
      </c>
      <c r="G51" s="55">
        <v>4</v>
      </c>
      <c r="H51" s="55">
        <v>5</v>
      </c>
      <c r="I51" s="55">
        <v>6</v>
      </c>
      <c r="J51" s="55">
        <v>7</v>
      </c>
      <c r="K51" s="55">
        <v>8</v>
      </c>
      <c r="L51" s="55">
        <v>9</v>
      </c>
      <c r="M51" s="55">
        <v>10</v>
      </c>
      <c r="N51" s="55">
        <v>11</v>
      </c>
      <c r="O51" s="55">
        <v>12</v>
      </c>
      <c r="P51" s="55">
        <v>13</v>
      </c>
      <c r="Q51" s="55">
        <v>14</v>
      </c>
      <c r="R51" s="55">
        <v>15</v>
      </c>
      <c r="S51" s="55">
        <v>16</v>
      </c>
      <c r="T51" s="55">
        <v>17</v>
      </c>
      <c r="U51" s="55">
        <v>18</v>
      </c>
      <c r="V51" s="55">
        <v>19</v>
      </c>
      <c r="W51" s="55">
        <v>20</v>
      </c>
    </row>
    <row r="52" spans="2:23" x14ac:dyDescent="0.25">
      <c r="B52" s="29" t="s">
        <v>101</v>
      </c>
      <c r="C52" s="28">
        <v>0</v>
      </c>
      <c r="D52" s="43">
        <f>C55</f>
        <v>240000</v>
      </c>
      <c r="E52" s="43">
        <f t="shared" ref="E52:W52" si="16">D55</f>
        <v>228000</v>
      </c>
      <c r="F52" s="43">
        <f t="shared" si="16"/>
        <v>216000</v>
      </c>
      <c r="G52" s="43">
        <f t="shared" si="16"/>
        <v>204000</v>
      </c>
      <c r="H52" s="43">
        <f t="shared" si="16"/>
        <v>192000</v>
      </c>
      <c r="I52" s="43">
        <f t="shared" si="16"/>
        <v>180000</v>
      </c>
      <c r="J52" s="43">
        <f t="shared" si="16"/>
        <v>168000</v>
      </c>
      <c r="K52" s="43">
        <f t="shared" si="16"/>
        <v>156000</v>
      </c>
      <c r="L52" s="43">
        <f t="shared" si="16"/>
        <v>144000</v>
      </c>
      <c r="M52" s="43">
        <f t="shared" si="16"/>
        <v>132000</v>
      </c>
      <c r="N52" s="43">
        <f t="shared" si="16"/>
        <v>120000</v>
      </c>
      <c r="O52" s="43">
        <f t="shared" si="16"/>
        <v>108000</v>
      </c>
      <c r="P52" s="43">
        <f t="shared" si="16"/>
        <v>96000</v>
      </c>
      <c r="Q52" s="43">
        <f t="shared" si="16"/>
        <v>84000</v>
      </c>
      <c r="R52" s="43">
        <f t="shared" si="16"/>
        <v>72000</v>
      </c>
      <c r="S52" s="43">
        <f t="shared" si="16"/>
        <v>60000</v>
      </c>
      <c r="T52" s="43">
        <f t="shared" si="16"/>
        <v>48000</v>
      </c>
      <c r="U52" s="43">
        <f t="shared" si="16"/>
        <v>36000</v>
      </c>
      <c r="V52" s="43">
        <f t="shared" si="16"/>
        <v>24000</v>
      </c>
      <c r="W52" s="43">
        <f t="shared" si="16"/>
        <v>12000</v>
      </c>
    </row>
    <row r="53" spans="2:23" x14ac:dyDescent="0.25">
      <c r="B53" s="32" t="s">
        <v>103</v>
      </c>
      <c r="C53" s="43">
        <f>-C70</f>
        <v>240000</v>
      </c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</row>
    <row r="54" spans="2:23" x14ac:dyDescent="0.25">
      <c r="B54" s="32" t="s">
        <v>104</v>
      </c>
      <c r="D54" s="35">
        <f t="shared" ref="D54:W54" si="17">D43</f>
        <v>-12000</v>
      </c>
      <c r="E54" s="35">
        <f t="shared" si="17"/>
        <v>-12000</v>
      </c>
      <c r="F54" s="35">
        <f t="shared" si="17"/>
        <v>-12000</v>
      </c>
      <c r="G54" s="35">
        <f t="shared" si="17"/>
        <v>-12000</v>
      </c>
      <c r="H54" s="35">
        <f t="shared" si="17"/>
        <v>-12000</v>
      </c>
      <c r="I54" s="35">
        <f t="shared" si="17"/>
        <v>-12000</v>
      </c>
      <c r="J54" s="35">
        <f t="shared" si="17"/>
        <v>-12000</v>
      </c>
      <c r="K54" s="35">
        <f t="shared" si="17"/>
        <v>-12000</v>
      </c>
      <c r="L54" s="35">
        <f t="shared" si="17"/>
        <v>-12000</v>
      </c>
      <c r="M54" s="35">
        <f t="shared" si="17"/>
        <v>-12000</v>
      </c>
      <c r="N54" s="35">
        <f t="shared" si="17"/>
        <v>-12000</v>
      </c>
      <c r="O54" s="35">
        <f t="shared" si="17"/>
        <v>-12000</v>
      </c>
      <c r="P54" s="35">
        <f t="shared" si="17"/>
        <v>-12000</v>
      </c>
      <c r="Q54" s="35">
        <f t="shared" si="17"/>
        <v>-12000</v>
      </c>
      <c r="R54" s="35">
        <f t="shared" si="17"/>
        <v>-12000</v>
      </c>
      <c r="S54" s="35">
        <f t="shared" si="17"/>
        <v>-12000</v>
      </c>
      <c r="T54" s="35">
        <f t="shared" si="17"/>
        <v>-12000</v>
      </c>
      <c r="U54" s="35">
        <f t="shared" si="17"/>
        <v>-12000</v>
      </c>
      <c r="V54" s="35">
        <f t="shared" si="17"/>
        <v>-12000</v>
      </c>
      <c r="W54" s="35">
        <f t="shared" si="17"/>
        <v>-12000</v>
      </c>
    </row>
    <row r="55" spans="2:23" x14ac:dyDescent="0.25">
      <c r="B55" s="46" t="s">
        <v>102</v>
      </c>
      <c r="C55" s="48">
        <f>SUM(C52:C54)</f>
        <v>240000</v>
      </c>
      <c r="D55" s="48">
        <f t="shared" ref="D55:W55" si="18">SUM(D52:D54)</f>
        <v>228000</v>
      </c>
      <c r="E55" s="48">
        <f t="shared" si="18"/>
        <v>216000</v>
      </c>
      <c r="F55" s="48">
        <f t="shared" si="18"/>
        <v>204000</v>
      </c>
      <c r="G55" s="48">
        <f t="shared" si="18"/>
        <v>192000</v>
      </c>
      <c r="H55" s="48">
        <f t="shared" si="18"/>
        <v>180000</v>
      </c>
      <c r="I55" s="48">
        <f t="shared" si="18"/>
        <v>168000</v>
      </c>
      <c r="J55" s="48">
        <f t="shared" si="18"/>
        <v>156000</v>
      </c>
      <c r="K55" s="48">
        <f t="shared" si="18"/>
        <v>144000</v>
      </c>
      <c r="L55" s="48">
        <f t="shared" si="18"/>
        <v>132000</v>
      </c>
      <c r="M55" s="48">
        <f t="shared" si="18"/>
        <v>120000</v>
      </c>
      <c r="N55" s="48">
        <f t="shared" si="18"/>
        <v>108000</v>
      </c>
      <c r="O55" s="48">
        <f t="shared" si="18"/>
        <v>96000</v>
      </c>
      <c r="P55" s="48">
        <f t="shared" si="18"/>
        <v>84000</v>
      </c>
      <c r="Q55" s="48">
        <f t="shared" si="18"/>
        <v>72000</v>
      </c>
      <c r="R55" s="48">
        <f t="shared" si="18"/>
        <v>60000</v>
      </c>
      <c r="S55" s="48">
        <f t="shared" si="18"/>
        <v>48000</v>
      </c>
      <c r="T55" s="48">
        <f t="shared" si="18"/>
        <v>36000</v>
      </c>
      <c r="U55" s="48">
        <f t="shared" si="18"/>
        <v>24000</v>
      </c>
      <c r="V55" s="48">
        <f t="shared" si="18"/>
        <v>12000</v>
      </c>
      <c r="W55" s="48">
        <f t="shared" si="18"/>
        <v>0</v>
      </c>
    </row>
    <row r="56" spans="2:23" x14ac:dyDescent="0.25">
      <c r="B56" s="49" t="s">
        <v>105</v>
      </c>
      <c r="C56" s="51">
        <f>C55</f>
        <v>240000</v>
      </c>
      <c r="D56" s="51">
        <f t="shared" ref="D56:W56" si="19">D55</f>
        <v>228000</v>
      </c>
      <c r="E56" s="51">
        <f t="shared" si="19"/>
        <v>216000</v>
      </c>
      <c r="F56" s="51">
        <f t="shared" si="19"/>
        <v>204000</v>
      </c>
      <c r="G56" s="51">
        <f t="shared" si="19"/>
        <v>192000</v>
      </c>
      <c r="H56" s="51">
        <f t="shared" si="19"/>
        <v>180000</v>
      </c>
      <c r="I56" s="51">
        <f t="shared" si="19"/>
        <v>168000</v>
      </c>
      <c r="J56" s="51">
        <f t="shared" si="19"/>
        <v>156000</v>
      </c>
      <c r="K56" s="51">
        <f t="shared" si="19"/>
        <v>144000</v>
      </c>
      <c r="L56" s="51">
        <f t="shared" si="19"/>
        <v>132000</v>
      </c>
      <c r="M56" s="51">
        <f t="shared" si="19"/>
        <v>120000</v>
      </c>
      <c r="N56" s="51">
        <f t="shared" si="19"/>
        <v>108000</v>
      </c>
      <c r="O56" s="51">
        <f t="shared" si="19"/>
        <v>96000</v>
      </c>
      <c r="P56" s="51">
        <f t="shared" si="19"/>
        <v>84000</v>
      </c>
      <c r="Q56" s="51">
        <f t="shared" si="19"/>
        <v>72000</v>
      </c>
      <c r="R56" s="51">
        <f t="shared" si="19"/>
        <v>60000</v>
      </c>
      <c r="S56" s="51">
        <f t="shared" si="19"/>
        <v>48000</v>
      </c>
      <c r="T56" s="51">
        <f t="shared" si="19"/>
        <v>36000</v>
      </c>
      <c r="U56" s="51">
        <f t="shared" si="19"/>
        <v>24000</v>
      </c>
      <c r="V56" s="51">
        <f t="shared" si="19"/>
        <v>12000</v>
      </c>
      <c r="W56" s="51">
        <f t="shared" si="19"/>
        <v>0</v>
      </c>
    </row>
    <row r="57" spans="2:23" x14ac:dyDescent="0.25">
      <c r="B57" s="46" t="s">
        <v>106</v>
      </c>
      <c r="C57" s="48">
        <f>E21*(1-D25)</f>
        <v>72000.000000000015</v>
      </c>
      <c r="D57" s="48">
        <f>C57+D48</f>
        <v>81498.300000000017</v>
      </c>
      <c r="E57" s="48">
        <f t="shared" ref="E57:W57" si="20">D57+E48</f>
        <v>91393.988244174863</v>
      </c>
      <c r="F57" s="48">
        <f t="shared" si="20"/>
        <v>101713.9727855333</v>
      </c>
      <c r="G57" s="48">
        <f t="shared" si="20"/>
        <v>112486.47892517131</v>
      </c>
      <c r="H57" s="48">
        <f t="shared" si="20"/>
        <v>123741.11518729472</v>
      </c>
      <c r="I57" s="48">
        <f t="shared" si="20"/>
        <v>135508.9425925425</v>
      </c>
      <c r="J57" s="48">
        <f t="shared" si="20"/>
        <v>147822.54739452747</v>
      </c>
      <c r="K57" s="48">
        <f t="shared" si="20"/>
        <v>160716.11745275732</v>
      </c>
      <c r="L57" s="48">
        <f t="shared" si="20"/>
        <v>174225.52242375637</v>
      </c>
      <c r="M57" s="48">
        <f t="shared" si="20"/>
        <v>188388.39796130039</v>
      </c>
      <c r="N57" s="48">
        <f t="shared" si="20"/>
        <v>203244.23412622133</v>
      </c>
      <c r="O57" s="48">
        <f t="shared" si="20"/>
        <v>218834.46821626273</v>
      </c>
      <c r="P57" s="48">
        <f t="shared" si="20"/>
        <v>235202.58223698984</v>
      </c>
      <c r="Q57" s="48">
        <f t="shared" si="20"/>
        <v>251446.47180163403</v>
      </c>
      <c r="R57" s="48">
        <f t="shared" si="20"/>
        <v>267566.63380801963</v>
      </c>
      <c r="S57" s="48">
        <f t="shared" si="20"/>
        <v>283563.5631663797</v>
      </c>
      <c r="T57" s="48">
        <f t="shared" si="20"/>
        <v>299437.7528073063</v>
      </c>
      <c r="U57" s="48">
        <f t="shared" si="20"/>
        <v>315189.69368966925</v>
      </c>
      <c r="V57" s="48">
        <f t="shared" si="20"/>
        <v>330819.87480850273</v>
      </c>
      <c r="W57" s="48">
        <f t="shared" si="20"/>
        <v>346328.78320286085</v>
      </c>
    </row>
    <row r="58" spans="2:23" x14ac:dyDescent="0.25">
      <c r="B58" s="32" t="s">
        <v>107</v>
      </c>
      <c r="C58" s="28">
        <v>0</v>
      </c>
      <c r="D58" s="43">
        <f>C61</f>
        <v>168000</v>
      </c>
      <c r="E58" s="43">
        <f t="shared" ref="E58:W58" si="21">D61</f>
        <v>157445.33111650302</v>
      </c>
      <c r="F58" s="43">
        <f t="shared" si="21"/>
        <v>146362.92878883117</v>
      </c>
      <c r="G58" s="43">
        <f t="shared" si="21"/>
        <v>134726.40634477575</v>
      </c>
      <c r="H58" s="43">
        <f t="shared" si="21"/>
        <v>122508.05777851754</v>
      </c>
      <c r="I58" s="43">
        <f t="shared" si="21"/>
        <v>109678.79178394642</v>
      </c>
      <c r="J58" s="43">
        <f t="shared" si="21"/>
        <v>96208.062489646749</v>
      </c>
      <c r="K58" s="43">
        <f t="shared" si="21"/>
        <v>82063.796730632093</v>
      </c>
      <c r="L58" s="43">
        <f t="shared" si="21"/>
        <v>67212.317683666712</v>
      </c>
      <c r="M58" s="43">
        <f t="shared" si="21"/>
        <v>51618.264684353053</v>
      </c>
      <c r="N58" s="43">
        <f t="shared" si="21"/>
        <v>35244.509035073715</v>
      </c>
      <c r="O58" s="43">
        <f t="shared" si="21"/>
        <v>18052.065603330411</v>
      </c>
      <c r="P58" s="43">
        <f t="shared" si="21"/>
        <v>-5.8207660913467407E-11</v>
      </c>
      <c r="Q58" s="43">
        <f t="shared" si="21"/>
        <v>-5.8207660913467407E-11</v>
      </c>
      <c r="R58" s="43">
        <f t="shared" si="21"/>
        <v>-5.8207660913467407E-11</v>
      </c>
      <c r="S58" s="43">
        <f t="shared" si="21"/>
        <v>-5.8207660913467407E-11</v>
      </c>
      <c r="T58" s="43">
        <f t="shared" si="21"/>
        <v>-5.8207660913467407E-11</v>
      </c>
      <c r="U58" s="43">
        <f t="shared" si="21"/>
        <v>-5.8207660913467407E-11</v>
      </c>
      <c r="V58" s="43">
        <f t="shared" si="21"/>
        <v>-5.8207660913467407E-11</v>
      </c>
      <c r="W58" s="43">
        <f t="shared" si="21"/>
        <v>-5.8207660913467407E-11</v>
      </c>
    </row>
    <row r="59" spans="2:23" x14ac:dyDescent="0.25">
      <c r="B59" s="61" t="s">
        <v>103</v>
      </c>
      <c r="C59" s="43">
        <f>E21*D25</f>
        <v>168000</v>
      </c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</row>
    <row r="60" spans="2:23" x14ac:dyDescent="0.25">
      <c r="B60" s="61" t="s">
        <v>104</v>
      </c>
      <c r="D60" s="35">
        <f>IF(D51&gt;$D$27,0,-($D$28+D45))</f>
        <v>-10554.66888349699</v>
      </c>
      <c r="E60" s="35">
        <f t="shared" ref="E60:W60" si="22">IF(E51&gt;$D$27,0,-($D$28+E45))</f>
        <v>-11082.40232767184</v>
      </c>
      <c r="F60" s="35">
        <f t="shared" si="22"/>
        <v>-11636.52244405543</v>
      </c>
      <c r="G60" s="35">
        <f t="shared" si="22"/>
        <v>-12218.348566258202</v>
      </c>
      <c r="H60" s="35">
        <f t="shared" si="22"/>
        <v>-12829.265994571113</v>
      </c>
      <c r="I60" s="35">
        <f t="shared" si="22"/>
        <v>-13470.729294299668</v>
      </c>
      <c r="J60" s="35">
        <f t="shared" si="22"/>
        <v>-14144.265759014652</v>
      </c>
      <c r="K60" s="35">
        <f t="shared" si="22"/>
        <v>-14851.479046965385</v>
      </c>
      <c r="L60" s="35">
        <f t="shared" si="22"/>
        <v>-15594.052999313655</v>
      </c>
      <c r="M60" s="35">
        <f t="shared" si="22"/>
        <v>-16373.755649279337</v>
      </c>
      <c r="N60" s="35">
        <f t="shared" si="22"/>
        <v>-17192.443431743304</v>
      </c>
      <c r="O60" s="35">
        <f t="shared" si="22"/>
        <v>-18052.065603330469</v>
      </c>
      <c r="P60" s="35">
        <f t="shared" si="22"/>
        <v>0</v>
      </c>
      <c r="Q60" s="35">
        <f t="shared" si="22"/>
        <v>0</v>
      </c>
      <c r="R60" s="35">
        <f t="shared" si="22"/>
        <v>0</v>
      </c>
      <c r="S60" s="35">
        <f t="shared" si="22"/>
        <v>0</v>
      </c>
      <c r="T60" s="35">
        <f t="shared" si="22"/>
        <v>0</v>
      </c>
      <c r="U60" s="35">
        <f t="shared" si="22"/>
        <v>0</v>
      </c>
      <c r="V60" s="35">
        <f t="shared" si="22"/>
        <v>0</v>
      </c>
      <c r="W60" s="35">
        <f t="shared" si="22"/>
        <v>0</v>
      </c>
    </row>
    <row r="61" spans="2:23" x14ac:dyDescent="0.25">
      <c r="B61" s="46" t="s">
        <v>108</v>
      </c>
      <c r="C61" s="48">
        <f>SUM(C58:C60)</f>
        <v>168000</v>
      </c>
      <c r="D61" s="48">
        <f t="shared" ref="D61:W61" si="23">SUM(D58:D60)</f>
        <v>157445.33111650302</v>
      </c>
      <c r="E61" s="48">
        <f t="shared" si="23"/>
        <v>146362.92878883117</v>
      </c>
      <c r="F61" s="48">
        <f t="shared" si="23"/>
        <v>134726.40634477575</v>
      </c>
      <c r="G61" s="48">
        <f t="shared" si="23"/>
        <v>122508.05777851754</v>
      </c>
      <c r="H61" s="48">
        <f t="shared" si="23"/>
        <v>109678.79178394642</v>
      </c>
      <c r="I61" s="48">
        <f t="shared" si="23"/>
        <v>96208.062489646749</v>
      </c>
      <c r="J61" s="48">
        <f t="shared" si="23"/>
        <v>82063.796730632093</v>
      </c>
      <c r="K61" s="48">
        <f t="shared" si="23"/>
        <v>67212.317683666712</v>
      </c>
      <c r="L61" s="48">
        <f t="shared" si="23"/>
        <v>51618.264684353053</v>
      </c>
      <c r="M61" s="48">
        <f t="shared" si="23"/>
        <v>35244.509035073715</v>
      </c>
      <c r="N61" s="48">
        <f t="shared" si="23"/>
        <v>18052.065603330411</v>
      </c>
      <c r="O61" s="48">
        <f t="shared" si="23"/>
        <v>-5.8207660913467407E-11</v>
      </c>
      <c r="P61" s="48">
        <f t="shared" si="23"/>
        <v>-5.8207660913467407E-11</v>
      </c>
      <c r="Q61" s="48">
        <f t="shared" si="23"/>
        <v>-5.8207660913467407E-11</v>
      </c>
      <c r="R61" s="48">
        <f t="shared" si="23"/>
        <v>-5.8207660913467407E-11</v>
      </c>
      <c r="S61" s="48">
        <f t="shared" si="23"/>
        <v>-5.8207660913467407E-11</v>
      </c>
      <c r="T61" s="48">
        <f t="shared" si="23"/>
        <v>-5.8207660913467407E-11</v>
      </c>
      <c r="U61" s="48">
        <f t="shared" si="23"/>
        <v>-5.8207660913467407E-11</v>
      </c>
      <c r="V61" s="48">
        <f t="shared" si="23"/>
        <v>-5.8207660913467407E-11</v>
      </c>
      <c r="W61" s="48">
        <f t="shared" si="23"/>
        <v>-5.8207660913467407E-11</v>
      </c>
    </row>
    <row r="62" spans="2:23" x14ac:dyDescent="0.25">
      <c r="B62" s="46" t="s">
        <v>110</v>
      </c>
      <c r="C62" s="48">
        <f>C56-C57-C61</f>
        <v>0</v>
      </c>
      <c r="D62" s="48">
        <f t="shared" ref="D62:W62" si="24">D56-D57-D61</f>
        <v>-10943.631116503035</v>
      </c>
      <c r="E62" s="48">
        <f t="shared" si="24"/>
        <v>-21756.91703300603</v>
      </c>
      <c r="F62" s="48">
        <f t="shared" si="24"/>
        <v>-32440.379130309055</v>
      </c>
      <c r="G62" s="48">
        <f t="shared" si="24"/>
        <v>-42994.536703688849</v>
      </c>
      <c r="H62" s="48">
        <f t="shared" si="24"/>
        <v>-53419.906971241144</v>
      </c>
      <c r="I62" s="48">
        <f t="shared" si="24"/>
        <v>-63717.005082189251</v>
      </c>
      <c r="J62" s="48">
        <f t="shared" si="24"/>
        <v>-73886.344125159565</v>
      </c>
      <c r="K62" s="48">
        <f t="shared" si="24"/>
        <v>-83928.435136424028</v>
      </c>
      <c r="L62" s="48">
        <f t="shared" si="24"/>
        <v>-93843.78710810942</v>
      </c>
      <c r="M62" s="48">
        <f t="shared" si="24"/>
        <v>-103632.90699637411</v>
      </c>
      <c r="N62" s="48">
        <f t="shared" si="24"/>
        <v>-113296.29972955174</v>
      </c>
      <c r="O62" s="48">
        <f t="shared" si="24"/>
        <v>-122834.46821626267</v>
      </c>
      <c r="P62" s="48">
        <f t="shared" si="24"/>
        <v>-151202.58223698978</v>
      </c>
      <c r="Q62" s="48">
        <f t="shared" si="24"/>
        <v>-179446.47180163398</v>
      </c>
      <c r="R62" s="48">
        <f t="shared" si="24"/>
        <v>-207566.63380801957</v>
      </c>
      <c r="S62" s="48">
        <f t="shared" si="24"/>
        <v>-235563.56316637964</v>
      </c>
      <c r="T62" s="48">
        <f t="shared" si="24"/>
        <v>-263437.75280730624</v>
      </c>
      <c r="U62" s="48">
        <f t="shared" si="24"/>
        <v>-291189.69368966919</v>
      </c>
      <c r="V62" s="48">
        <f t="shared" si="24"/>
        <v>-318819.87480850267</v>
      </c>
      <c r="W62" s="48">
        <f t="shared" si="24"/>
        <v>-346328.7832028608</v>
      </c>
    </row>
    <row r="63" spans="2:23" x14ac:dyDescent="0.25">
      <c r="B63" s="49" t="s">
        <v>111</v>
      </c>
      <c r="C63" s="51">
        <f>C61+C62</f>
        <v>168000</v>
      </c>
      <c r="D63" s="51">
        <f t="shared" ref="D63:W63" si="25">D61+D62</f>
        <v>146501.69999999998</v>
      </c>
      <c r="E63" s="51">
        <f t="shared" si="25"/>
        <v>124606.01175582514</v>
      </c>
      <c r="F63" s="51">
        <f t="shared" si="25"/>
        <v>102286.0272144667</v>
      </c>
      <c r="G63" s="51">
        <f t="shared" si="25"/>
        <v>79513.521074828692</v>
      </c>
      <c r="H63" s="51">
        <f t="shared" si="25"/>
        <v>56258.884812705277</v>
      </c>
      <c r="I63" s="51">
        <f t="shared" si="25"/>
        <v>32491.057407457498</v>
      </c>
      <c r="J63" s="51">
        <f t="shared" si="25"/>
        <v>8177.4526054725284</v>
      </c>
      <c r="K63" s="51">
        <f t="shared" si="25"/>
        <v>-16716.117452757317</v>
      </c>
      <c r="L63" s="51">
        <f t="shared" si="25"/>
        <v>-42225.522423756367</v>
      </c>
      <c r="M63" s="51">
        <f t="shared" si="25"/>
        <v>-68388.39796130039</v>
      </c>
      <c r="N63" s="51">
        <f t="shared" si="25"/>
        <v>-95244.23412622133</v>
      </c>
      <c r="O63" s="51">
        <f t="shared" si="25"/>
        <v>-122834.46821626273</v>
      </c>
      <c r="P63" s="51">
        <f t="shared" si="25"/>
        <v>-151202.58223698984</v>
      </c>
      <c r="Q63" s="51">
        <f t="shared" si="25"/>
        <v>-179446.47180163403</v>
      </c>
      <c r="R63" s="51">
        <f t="shared" si="25"/>
        <v>-207566.63380801963</v>
      </c>
      <c r="S63" s="51">
        <f t="shared" si="25"/>
        <v>-235563.5631663797</v>
      </c>
      <c r="T63" s="51">
        <f t="shared" si="25"/>
        <v>-263437.7528073063</v>
      </c>
      <c r="U63" s="51">
        <f t="shared" si="25"/>
        <v>-291189.69368966925</v>
      </c>
      <c r="V63" s="51">
        <f t="shared" si="25"/>
        <v>-318819.87480850273</v>
      </c>
      <c r="W63" s="51">
        <f t="shared" si="25"/>
        <v>-346328.78320286085</v>
      </c>
    </row>
    <row r="64" spans="2:23" x14ac:dyDescent="0.25">
      <c r="B64" s="49" t="s">
        <v>112</v>
      </c>
      <c r="C64" s="51">
        <f>C57+C63</f>
        <v>240000</v>
      </c>
      <c r="D64" s="51">
        <f t="shared" ref="D64:W64" si="26">D57+D63</f>
        <v>228000</v>
      </c>
      <c r="E64" s="51">
        <f t="shared" si="26"/>
        <v>216000</v>
      </c>
      <c r="F64" s="51">
        <f t="shared" si="26"/>
        <v>204000</v>
      </c>
      <c r="G64" s="51">
        <f t="shared" si="26"/>
        <v>192000</v>
      </c>
      <c r="H64" s="51">
        <f t="shared" si="26"/>
        <v>180000</v>
      </c>
      <c r="I64" s="51">
        <f t="shared" si="26"/>
        <v>168000</v>
      </c>
      <c r="J64" s="51">
        <f t="shared" si="26"/>
        <v>156000</v>
      </c>
      <c r="K64" s="51">
        <f t="shared" si="26"/>
        <v>144000</v>
      </c>
      <c r="L64" s="51">
        <f t="shared" si="26"/>
        <v>132000</v>
      </c>
      <c r="M64" s="51">
        <f t="shared" si="26"/>
        <v>120000</v>
      </c>
      <c r="N64" s="51">
        <f t="shared" si="26"/>
        <v>108000</v>
      </c>
      <c r="O64" s="51">
        <f t="shared" si="26"/>
        <v>96000</v>
      </c>
      <c r="P64" s="51">
        <f t="shared" si="26"/>
        <v>84000</v>
      </c>
      <c r="Q64" s="51">
        <f t="shared" si="26"/>
        <v>72000</v>
      </c>
      <c r="R64" s="51">
        <f t="shared" si="26"/>
        <v>60000</v>
      </c>
      <c r="S64" s="51">
        <f t="shared" si="26"/>
        <v>48000</v>
      </c>
      <c r="T64" s="51">
        <f t="shared" si="26"/>
        <v>36000</v>
      </c>
      <c r="U64" s="51">
        <f t="shared" si="26"/>
        <v>24000</v>
      </c>
      <c r="V64" s="51">
        <f t="shared" si="26"/>
        <v>12000</v>
      </c>
      <c r="W64" s="51">
        <f t="shared" si="26"/>
        <v>0</v>
      </c>
    </row>
    <row r="65" spans="2:23" s="66" customFormat="1" ht="12" x14ac:dyDescent="0.3">
      <c r="B65" s="67" t="s">
        <v>114</v>
      </c>
      <c r="C65" s="68">
        <f>C64-C56</f>
        <v>0</v>
      </c>
      <c r="D65" s="68">
        <f t="shared" ref="D65:W65" si="27">D64-D56</f>
        <v>0</v>
      </c>
      <c r="E65" s="68">
        <f t="shared" si="27"/>
        <v>0</v>
      </c>
      <c r="F65" s="68">
        <f t="shared" si="27"/>
        <v>0</v>
      </c>
      <c r="G65" s="68">
        <f t="shared" si="27"/>
        <v>0</v>
      </c>
      <c r="H65" s="68">
        <f t="shared" si="27"/>
        <v>0</v>
      </c>
      <c r="I65" s="68">
        <f t="shared" si="27"/>
        <v>0</v>
      </c>
      <c r="J65" s="68">
        <f t="shared" si="27"/>
        <v>0</v>
      </c>
      <c r="K65" s="68">
        <f t="shared" si="27"/>
        <v>0</v>
      </c>
      <c r="L65" s="68">
        <f t="shared" si="27"/>
        <v>0</v>
      </c>
      <c r="M65" s="68">
        <f t="shared" si="27"/>
        <v>0</v>
      </c>
      <c r="N65" s="68">
        <f t="shared" si="27"/>
        <v>0</v>
      </c>
      <c r="O65" s="68">
        <f t="shared" si="27"/>
        <v>0</v>
      </c>
      <c r="P65" s="68">
        <f t="shared" si="27"/>
        <v>0</v>
      </c>
      <c r="Q65" s="68">
        <f t="shared" si="27"/>
        <v>0</v>
      </c>
      <c r="R65" s="68">
        <f t="shared" si="27"/>
        <v>0</v>
      </c>
      <c r="S65" s="68">
        <f t="shared" si="27"/>
        <v>0</v>
      </c>
      <c r="T65" s="68">
        <f t="shared" si="27"/>
        <v>0</v>
      </c>
      <c r="U65" s="68">
        <f t="shared" si="27"/>
        <v>0</v>
      </c>
      <c r="V65" s="68">
        <f t="shared" si="27"/>
        <v>0</v>
      </c>
      <c r="W65" s="68">
        <f t="shared" si="27"/>
        <v>0</v>
      </c>
    </row>
    <row r="67" spans="2:23" x14ac:dyDescent="0.25">
      <c r="B67" s="54" t="s">
        <v>68</v>
      </c>
      <c r="C67" s="55">
        <v>0</v>
      </c>
      <c r="D67" s="55">
        <v>1</v>
      </c>
      <c r="E67" s="55">
        <v>2</v>
      </c>
      <c r="F67" s="55">
        <v>3</v>
      </c>
      <c r="G67" s="55">
        <v>4</v>
      </c>
      <c r="H67" s="55">
        <v>5</v>
      </c>
      <c r="I67" s="55">
        <v>6</v>
      </c>
      <c r="J67" s="55">
        <v>7</v>
      </c>
      <c r="K67" s="55">
        <v>8</v>
      </c>
      <c r="L67" s="55">
        <v>9</v>
      </c>
      <c r="M67" s="55">
        <v>10</v>
      </c>
      <c r="N67" s="55">
        <v>11</v>
      </c>
      <c r="O67" s="55">
        <v>12</v>
      </c>
      <c r="P67" s="55">
        <v>13</v>
      </c>
      <c r="Q67" s="55">
        <v>14</v>
      </c>
      <c r="R67" s="55">
        <v>15</v>
      </c>
      <c r="S67" s="55">
        <v>16</v>
      </c>
      <c r="T67" s="55">
        <v>17</v>
      </c>
      <c r="U67" s="55">
        <v>18</v>
      </c>
      <c r="V67" s="55">
        <v>19</v>
      </c>
      <c r="W67" s="55">
        <v>20</v>
      </c>
    </row>
    <row r="68" spans="2:23" x14ac:dyDescent="0.25">
      <c r="B68" s="32" t="s">
        <v>36</v>
      </c>
      <c r="D68" s="35">
        <f t="shared" ref="D68:W68" si="28">D42</f>
        <v>30637.5</v>
      </c>
      <c r="E68" s="35">
        <f t="shared" si="28"/>
        <v>30481.35</v>
      </c>
      <c r="F68" s="35">
        <f t="shared" si="28"/>
        <v>30325.8246</v>
      </c>
      <c r="G68" s="35">
        <f t="shared" si="28"/>
        <v>30170.921301599999</v>
      </c>
      <c r="H68" s="35">
        <f t="shared" si="28"/>
        <v>30016.6376163936</v>
      </c>
      <c r="I68" s="35">
        <f t="shared" si="28"/>
        <v>29862.971065928024</v>
      </c>
      <c r="J68" s="35">
        <f t="shared" si="28"/>
        <v>29709.919181664322</v>
      </c>
      <c r="K68" s="35">
        <f t="shared" si="28"/>
        <v>29557.479504937663</v>
      </c>
      <c r="L68" s="35">
        <f t="shared" si="28"/>
        <v>29405.649586917905</v>
      </c>
      <c r="M68" s="35">
        <f t="shared" si="28"/>
        <v>29254.426988570238</v>
      </c>
      <c r="N68" s="35">
        <f t="shared" si="28"/>
        <v>29103.809280615955</v>
      </c>
      <c r="O68" s="35">
        <f t="shared" si="28"/>
        <v>28953.794043493494</v>
      </c>
      <c r="P68" s="35">
        <f t="shared" si="28"/>
        <v>28804.378867319523</v>
      </c>
      <c r="Q68" s="35">
        <f t="shared" si="28"/>
        <v>28655.561351850236</v>
      </c>
      <c r="R68" s="35">
        <f t="shared" si="28"/>
        <v>28507.339106442836</v>
      </c>
      <c r="S68" s="35">
        <f t="shared" si="28"/>
        <v>28359.709750017064</v>
      </c>
      <c r="T68" s="35">
        <f t="shared" si="28"/>
        <v>28212.670911016998</v>
      </c>
      <c r="U68" s="35">
        <f t="shared" si="28"/>
        <v>28066.220227372934</v>
      </c>
      <c r="V68" s="35">
        <f t="shared" si="28"/>
        <v>27920.355346463439</v>
      </c>
      <c r="W68" s="35">
        <f t="shared" si="28"/>
        <v>27775.07392507758</v>
      </c>
    </row>
    <row r="69" spans="2:23" x14ac:dyDescent="0.25">
      <c r="B69" s="32" t="s">
        <v>41</v>
      </c>
      <c r="D69" s="35">
        <f>D47</f>
        <v>-739.19999999999959</v>
      </c>
      <c r="E69" s="35">
        <f t="shared" ref="E69:W69" si="29">E47</f>
        <v>-713.39519999999959</v>
      </c>
      <c r="F69" s="35">
        <f t="shared" si="29"/>
        <v>-687.69361919999983</v>
      </c>
      <c r="G69" s="35">
        <f t="shared" si="29"/>
        <v>-662.09484472319969</v>
      </c>
      <c r="H69" s="35">
        <f t="shared" si="29"/>
        <v>-636.59846534430687</v>
      </c>
      <c r="I69" s="35">
        <f t="shared" si="29"/>
        <v>-611.20407148292986</v>
      </c>
      <c r="J69" s="35">
        <f t="shared" si="29"/>
        <v>-585.91125519699892</v>
      </c>
      <c r="K69" s="35">
        <f t="shared" si="29"/>
        <v>-560.71961017621084</v>
      </c>
      <c r="L69" s="35">
        <f t="shared" si="29"/>
        <v>-535.62873173550599</v>
      </c>
      <c r="M69" s="35">
        <f t="shared" si="29"/>
        <v>-510.63821680856387</v>
      </c>
      <c r="N69" s="35">
        <f t="shared" si="29"/>
        <v>-485.74766394132934</v>
      </c>
      <c r="O69" s="35">
        <f t="shared" si="29"/>
        <v>-460.95667328556385</v>
      </c>
      <c r="P69" s="35">
        <f t="shared" si="29"/>
        <v>-436.2648465924218</v>
      </c>
      <c r="Q69" s="35">
        <f t="shared" si="29"/>
        <v>-411.6717872060525</v>
      </c>
      <c r="R69" s="35">
        <f t="shared" si="29"/>
        <v>-387.17710005722779</v>
      </c>
      <c r="S69" s="35">
        <f t="shared" si="29"/>
        <v>-362.78039165699863</v>
      </c>
      <c r="T69" s="35">
        <f t="shared" si="29"/>
        <v>-338.48127009037091</v>
      </c>
      <c r="U69" s="35">
        <f t="shared" si="29"/>
        <v>-314.27934501000982</v>
      </c>
      <c r="V69" s="35">
        <f t="shared" si="29"/>
        <v>-290.17422762996932</v>
      </c>
      <c r="W69" s="35">
        <f t="shared" si="29"/>
        <v>-266.16553071944912</v>
      </c>
    </row>
    <row r="70" spans="2:23" x14ac:dyDescent="0.25">
      <c r="B70" s="32" t="s">
        <v>45</v>
      </c>
      <c r="C70" s="35">
        <f>-E21</f>
        <v>-240000</v>
      </c>
    </row>
    <row r="71" spans="2:23" x14ac:dyDescent="0.25">
      <c r="B71" s="49" t="s">
        <v>115</v>
      </c>
      <c r="C71" s="51">
        <f t="shared" ref="C71" si="30">SUM(C68:C70)</f>
        <v>-240000</v>
      </c>
      <c r="D71" s="51">
        <f>SUM(D68:D70)</f>
        <v>29898.3</v>
      </c>
      <c r="E71" s="51">
        <f t="shared" ref="E71:W71" si="31">SUM(E68:E70)</f>
        <v>29767.9548</v>
      </c>
      <c r="F71" s="51">
        <f t="shared" si="31"/>
        <v>29638.130980800001</v>
      </c>
      <c r="G71" s="51">
        <f t="shared" si="31"/>
        <v>29508.826456876799</v>
      </c>
      <c r="H71" s="51">
        <f t="shared" si="31"/>
        <v>29380.039151049292</v>
      </c>
      <c r="I71" s="51">
        <f t="shared" si="31"/>
        <v>29251.766994445094</v>
      </c>
      <c r="J71" s="51">
        <f t="shared" si="31"/>
        <v>29124.007926467322</v>
      </c>
      <c r="K71" s="51">
        <f t="shared" si="31"/>
        <v>28996.759894761453</v>
      </c>
      <c r="L71" s="51">
        <f t="shared" si="31"/>
        <v>28870.0208551824</v>
      </c>
      <c r="M71" s="51">
        <f t="shared" si="31"/>
        <v>28743.788771761672</v>
      </c>
      <c r="N71" s="51">
        <f t="shared" si="31"/>
        <v>28618.061616674626</v>
      </c>
      <c r="O71" s="51">
        <f t="shared" si="31"/>
        <v>28492.83737020793</v>
      </c>
      <c r="P71" s="51">
        <f t="shared" si="31"/>
        <v>28368.114020727102</v>
      </c>
      <c r="Q71" s="51">
        <f t="shared" si="31"/>
        <v>28243.889564644185</v>
      </c>
      <c r="R71" s="51">
        <f t="shared" si="31"/>
        <v>28120.16200638561</v>
      </c>
      <c r="S71" s="51">
        <f t="shared" si="31"/>
        <v>27996.929358360067</v>
      </c>
      <c r="T71" s="51">
        <f t="shared" si="31"/>
        <v>27874.189640926626</v>
      </c>
      <c r="U71" s="51">
        <f t="shared" si="31"/>
        <v>27751.940882362924</v>
      </c>
      <c r="V71" s="51">
        <f t="shared" si="31"/>
        <v>27630.181118833469</v>
      </c>
      <c r="W71" s="51">
        <f t="shared" si="31"/>
        <v>27508.908394358132</v>
      </c>
    </row>
    <row r="72" spans="2:23" x14ac:dyDescent="0.25">
      <c r="B72" s="64" t="s">
        <v>116</v>
      </c>
      <c r="C72" s="65">
        <f>C59</f>
        <v>168000</v>
      </c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</row>
    <row r="73" spans="2:23" x14ac:dyDescent="0.25">
      <c r="B73" s="64" t="s">
        <v>117</v>
      </c>
      <c r="C73" s="63"/>
      <c r="D73" s="65">
        <f>D60</f>
        <v>-10554.66888349699</v>
      </c>
      <c r="E73" s="65">
        <f t="shared" ref="E73:W73" si="32">E60</f>
        <v>-11082.40232767184</v>
      </c>
      <c r="F73" s="65">
        <f t="shared" si="32"/>
        <v>-11636.52244405543</v>
      </c>
      <c r="G73" s="65">
        <f t="shared" si="32"/>
        <v>-12218.348566258202</v>
      </c>
      <c r="H73" s="65">
        <f t="shared" si="32"/>
        <v>-12829.265994571113</v>
      </c>
      <c r="I73" s="65">
        <f t="shared" si="32"/>
        <v>-13470.729294299668</v>
      </c>
      <c r="J73" s="65">
        <f t="shared" si="32"/>
        <v>-14144.265759014652</v>
      </c>
      <c r="K73" s="65">
        <f t="shared" si="32"/>
        <v>-14851.479046965385</v>
      </c>
      <c r="L73" s="65">
        <f t="shared" si="32"/>
        <v>-15594.052999313655</v>
      </c>
      <c r="M73" s="65">
        <f t="shared" si="32"/>
        <v>-16373.755649279337</v>
      </c>
      <c r="N73" s="65">
        <f t="shared" si="32"/>
        <v>-17192.443431743304</v>
      </c>
      <c r="O73" s="65">
        <f t="shared" si="32"/>
        <v>-18052.065603330469</v>
      </c>
      <c r="P73" s="65">
        <f t="shared" si="32"/>
        <v>0</v>
      </c>
      <c r="Q73" s="65">
        <f t="shared" si="32"/>
        <v>0</v>
      </c>
      <c r="R73" s="65">
        <f t="shared" si="32"/>
        <v>0</v>
      </c>
      <c r="S73" s="65">
        <f t="shared" si="32"/>
        <v>0</v>
      </c>
      <c r="T73" s="65">
        <f t="shared" si="32"/>
        <v>0</v>
      </c>
      <c r="U73" s="65">
        <f t="shared" si="32"/>
        <v>0</v>
      </c>
      <c r="V73" s="65">
        <f t="shared" si="32"/>
        <v>0</v>
      </c>
      <c r="W73" s="65">
        <f t="shared" si="32"/>
        <v>0</v>
      </c>
    </row>
    <row r="74" spans="2:23" x14ac:dyDescent="0.25">
      <c r="B74" s="64" t="s">
        <v>109</v>
      </c>
      <c r="C74" s="63"/>
      <c r="D74" s="65">
        <f>D45</f>
        <v>-8400</v>
      </c>
      <c r="E74" s="65">
        <f t="shared" ref="E74:W74" si="33">E45</f>
        <v>-7872.266555825151</v>
      </c>
      <c r="F74" s="65">
        <f t="shared" si="33"/>
        <v>-7318.1464394415589</v>
      </c>
      <c r="G74" s="65">
        <f t="shared" si="33"/>
        <v>-6736.3203172387875</v>
      </c>
      <c r="H74" s="65">
        <f t="shared" si="33"/>
        <v>-6125.4028889258771</v>
      </c>
      <c r="I74" s="65">
        <f t="shared" si="33"/>
        <v>-5483.9395891973218</v>
      </c>
      <c r="J74" s="65">
        <f t="shared" si="33"/>
        <v>-4810.4031244823373</v>
      </c>
      <c r="K74" s="65">
        <f t="shared" si="33"/>
        <v>-4103.1898365316047</v>
      </c>
      <c r="L74" s="65">
        <f t="shared" si="33"/>
        <v>-3360.6158841833358</v>
      </c>
      <c r="M74" s="65">
        <f t="shared" si="33"/>
        <v>-2580.9132342176526</v>
      </c>
      <c r="N74" s="65">
        <f t="shared" si="33"/>
        <v>-1762.2254517536858</v>
      </c>
      <c r="O74" s="65">
        <f t="shared" si="33"/>
        <v>-902.60328016652056</v>
      </c>
      <c r="P74" s="65">
        <f t="shared" si="33"/>
        <v>0</v>
      </c>
      <c r="Q74" s="65">
        <f t="shared" si="33"/>
        <v>0</v>
      </c>
      <c r="R74" s="65">
        <f t="shared" si="33"/>
        <v>0</v>
      </c>
      <c r="S74" s="65">
        <f t="shared" si="33"/>
        <v>0</v>
      </c>
      <c r="T74" s="65">
        <f t="shared" si="33"/>
        <v>0</v>
      </c>
      <c r="U74" s="65">
        <f t="shared" si="33"/>
        <v>0</v>
      </c>
      <c r="V74" s="65">
        <f t="shared" si="33"/>
        <v>0</v>
      </c>
      <c r="W74" s="65">
        <f t="shared" si="33"/>
        <v>0</v>
      </c>
    </row>
    <row r="75" spans="2:23" x14ac:dyDescent="0.25">
      <c r="B75" s="32" t="s">
        <v>118</v>
      </c>
      <c r="C75" s="35">
        <f>C57</f>
        <v>72000.000000000015</v>
      </c>
      <c r="H75" s="29"/>
    </row>
    <row r="76" spans="2:23" x14ac:dyDescent="0.25">
      <c r="B76" s="49" t="s">
        <v>119</v>
      </c>
      <c r="C76" s="51">
        <f>C71+SUM(C72:C75)</f>
        <v>0</v>
      </c>
      <c r="D76" s="51">
        <f t="shared" ref="D76:W76" si="34">D71+SUM(D72:D75)</f>
        <v>10943.631116503009</v>
      </c>
      <c r="E76" s="51">
        <f t="shared" si="34"/>
        <v>10813.28591650301</v>
      </c>
      <c r="F76" s="51">
        <f t="shared" si="34"/>
        <v>10683.462097303011</v>
      </c>
      <c r="G76" s="51">
        <f t="shared" si="34"/>
        <v>10554.157573379809</v>
      </c>
      <c r="H76" s="51">
        <f t="shared" si="34"/>
        <v>10425.370267552302</v>
      </c>
      <c r="I76" s="51">
        <f t="shared" si="34"/>
        <v>10297.098110948104</v>
      </c>
      <c r="J76" s="51">
        <f t="shared" si="34"/>
        <v>10169.339042970332</v>
      </c>
      <c r="K76" s="51">
        <f t="shared" si="34"/>
        <v>10042.091011264463</v>
      </c>
      <c r="L76" s="51">
        <f t="shared" si="34"/>
        <v>9915.3519716854098</v>
      </c>
      <c r="M76" s="51">
        <f t="shared" si="34"/>
        <v>9789.1198882646822</v>
      </c>
      <c r="N76" s="51">
        <f t="shared" si="34"/>
        <v>9663.3927331776358</v>
      </c>
      <c r="O76" s="51">
        <f t="shared" si="34"/>
        <v>9538.1684867109398</v>
      </c>
      <c r="P76" s="51">
        <f t="shared" si="34"/>
        <v>28368.114020727102</v>
      </c>
      <c r="Q76" s="51">
        <f t="shared" si="34"/>
        <v>28243.889564644185</v>
      </c>
      <c r="R76" s="51">
        <f t="shared" si="34"/>
        <v>28120.16200638561</v>
      </c>
      <c r="S76" s="51">
        <f t="shared" si="34"/>
        <v>27996.929358360067</v>
      </c>
      <c r="T76" s="51">
        <f t="shared" si="34"/>
        <v>27874.189640926626</v>
      </c>
      <c r="U76" s="51">
        <f t="shared" si="34"/>
        <v>27751.940882362924</v>
      </c>
      <c r="V76" s="51">
        <f t="shared" si="34"/>
        <v>27630.181118833469</v>
      </c>
      <c r="W76" s="51">
        <f t="shared" si="34"/>
        <v>27508.908394358132</v>
      </c>
    </row>
    <row r="77" spans="2:23" ht="12" x14ac:dyDescent="0.3">
      <c r="B77" s="67" t="s">
        <v>114</v>
      </c>
      <c r="C77" s="35"/>
      <c r="D77" s="69">
        <f>D62-C62+D76</f>
        <v>-2.5465851649641991E-11</v>
      </c>
      <c r="E77" s="69">
        <f t="shared" ref="E77:W77" si="35">E62-D62+E76</f>
        <v>1.4551915228366852E-11</v>
      </c>
      <c r="F77" s="69">
        <f t="shared" si="35"/>
        <v>-1.4551915228366852E-11</v>
      </c>
      <c r="G77" s="69">
        <f t="shared" si="35"/>
        <v>1.4551915228366852E-11</v>
      </c>
      <c r="H77" s="69">
        <f t="shared" si="35"/>
        <v>0</v>
      </c>
      <c r="I77" s="69">
        <f t="shared" si="35"/>
        <v>0</v>
      </c>
      <c r="J77" s="69">
        <f t="shared" si="35"/>
        <v>1.8189894035458565E-11</v>
      </c>
      <c r="K77" s="69">
        <f t="shared" si="35"/>
        <v>0</v>
      </c>
      <c r="L77" s="69">
        <f t="shared" si="35"/>
        <v>1.8189894035458565E-11</v>
      </c>
      <c r="M77" s="69">
        <f t="shared" si="35"/>
        <v>0</v>
      </c>
      <c r="N77" s="69">
        <f t="shared" si="35"/>
        <v>0</v>
      </c>
      <c r="O77" s="69">
        <f t="shared" si="35"/>
        <v>0</v>
      </c>
      <c r="P77" s="69">
        <f t="shared" si="35"/>
        <v>0</v>
      </c>
      <c r="Q77" s="69">
        <f t="shared" si="35"/>
        <v>0</v>
      </c>
      <c r="R77" s="69">
        <f t="shared" si="35"/>
        <v>0</v>
      </c>
      <c r="S77" s="69">
        <f t="shared" si="35"/>
        <v>0</v>
      </c>
      <c r="T77" s="69">
        <f t="shared" si="35"/>
        <v>0</v>
      </c>
      <c r="U77" s="69">
        <f t="shared" si="35"/>
        <v>0</v>
      </c>
      <c r="V77" s="69">
        <f t="shared" si="35"/>
        <v>0</v>
      </c>
      <c r="W77" s="69">
        <f t="shared" si="35"/>
        <v>0</v>
      </c>
    </row>
    <row r="78" spans="2:23" ht="12" x14ac:dyDescent="0.3">
      <c r="B78" s="67"/>
      <c r="C78" s="35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</row>
    <row r="79" spans="2:23" ht="12" x14ac:dyDescent="0.3">
      <c r="B79" s="29" t="s">
        <v>120</v>
      </c>
      <c r="C79" s="35">
        <f>C76-C75</f>
        <v>-72000.000000000015</v>
      </c>
      <c r="D79" s="69">
        <f>D76</f>
        <v>10943.631116503009</v>
      </c>
      <c r="E79" s="69">
        <f t="shared" ref="E79:W79" si="36">E76</f>
        <v>10813.28591650301</v>
      </c>
      <c r="F79" s="69">
        <f t="shared" si="36"/>
        <v>10683.462097303011</v>
      </c>
      <c r="G79" s="69">
        <f t="shared" si="36"/>
        <v>10554.157573379809</v>
      </c>
      <c r="H79" s="69">
        <f t="shared" si="36"/>
        <v>10425.370267552302</v>
      </c>
      <c r="I79" s="69">
        <f t="shared" si="36"/>
        <v>10297.098110948104</v>
      </c>
      <c r="J79" s="69">
        <f t="shared" si="36"/>
        <v>10169.339042970332</v>
      </c>
      <c r="K79" s="69">
        <f t="shared" si="36"/>
        <v>10042.091011264463</v>
      </c>
      <c r="L79" s="69">
        <f t="shared" si="36"/>
        <v>9915.3519716854098</v>
      </c>
      <c r="M79" s="69">
        <f t="shared" si="36"/>
        <v>9789.1198882646822</v>
      </c>
      <c r="N79" s="69">
        <f t="shared" si="36"/>
        <v>9663.3927331776358</v>
      </c>
      <c r="O79" s="69">
        <f t="shared" si="36"/>
        <v>9538.1684867109398</v>
      </c>
      <c r="P79" s="69">
        <f t="shared" si="36"/>
        <v>28368.114020727102</v>
      </c>
      <c r="Q79" s="69">
        <f t="shared" si="36"/>
        <v>28243.889564644185</v>
      </c>
      <c r="R79" s="69">
        <f t="shared" si="36"/>
        <v>28120.16200638561</v>
      </c>
      <c r="S79" s="69">
        <f t="shared" si="36"/>
        <v>27996.929358360067</v>
      </c>
      <c r="T79" s="69">
        <f t="shared" si="36"/>
        <v>27874.189640926626</v>
      </c>
      <c r="U79" s="69">
        <f t="shared" si="36"/>
        <v>27751.940882362924</v>
      </c>
      <c r="V79" s="69">
        <f t="shared" si="36"/>
        <v>27630.181118833469</v>
      </c>
      <c r="W79" s="69">
        <f t="shared" si="36"/>
        <v>27508.908394358132</v>
      </c>
    </row>
    <row r="80" spans="2:23" x14ac:dyDescent="0.25">
      <c r="B80" s="49" t="s">
        <v>121</v>
      </c>
      <c r="C80" s="51">
        <f>C79</f>
        <v>-72000.000000000015</v>
      </c>
      <c r="D80" s="51">
        <f>C80+D79</f>
        <v>-61056.368883497009</v>
      </c>
      <c r="E80" s="51">
        <f t="shared" ref="E80:W80" si="37">D80+E79</f>
        <v>-50243.082966993999</v>
      </c>
      <c r="F80" s="51">
        <f t="shared" si="37"/>
        <v>-39559.620869690989</v>
      </c>
      <c r="G80" s="51">
        <f t="shared" si="37"/>
        <v>-29005.46329631118</v>
      </c>
      <c r="H80" s="51">
        <f t="shared" si="37"/>
        <v>-18580.093028758878</v>
      </c>
      <c r="I80" s="51">
        <f t="shared" si="37"/>
        <v>-8282.9949178107745</v>
      </c>
      <c r="J80" s="51">
        <f t="shared" si="37"/>
        <v>1886.3441251595577</v>
      </c>
      <c r="K80" s="51">
        <f t="shared" si="37"/>
        <v>11928.435136424021</v>
      </c>
      <c r="L80" s="51">
        <f t="shared" si="37"/>
        <v>21843.787108109431</v>
      </c>
      <c r="M80" s="51">
        <f t="shared" si="37"/>
        <v>31632.906996374113</v>
      </c>
      <c r="N80" s="51">
        <f t="shared" si="37"/>
        <v>41296.299729551749</v>
      </c>
      <c r="O80" s="51">
        <f t="shared" si="37"/>
        <v>50834.468216262685</v>
      </c>
      <c r="P80" s="51">
        <f t="shared" si="37"/>
        <v>79202.58223698978</v>
      </c>
      <c r="Q80" s="51">
        <f t="shared" si="37"/>
        <v>107446.47180163396</v>
      </c>
      <c r="R80" s="51">
        <f t="shared" si="37"/>
        <v>135566.63380801957</v>
      </c>
      <c r="S80" s="51">
        <f t="shared" si="37"/>
        <v>163563.56316637964</v>
      </c>
      <c r="T80" s="51">
        <f t="shared" si="37"/>
        <v>191437.75280730627</v>
      </c>
      <c r="U80" s="51">
        <f t="shared" si="37"/>
        <v>219189.69368966919</v>
      </c>
      <c r="V80" s="51">
        <f t="shared" si="37"/>
        <v>246819.87480850267</v>
      </c>
      <c r="W80" s="51">
        <f t="shared" si="37"/>
        <v>274328.7832028608</v>
      </c>
    </row>
    <row r="81" spans="2:23" x14ac:dyDescent="0.25">
      <c r="C81" s="28">
        <f>IF(AND(C80&lt;0,D80&gt;0),C67+0.5,0)</f>
        <v>0</v>
      </c>
      <c r="D81" s="28">
        <f t="shared" ref="D81:W81" si="38">IF(AND(D80&lt;0,E80&gt;0),D67+0.5,0)</f>
        <v>0</v>
      </c>
      <c r="E81" s="28">
        <f t="shared" si="38"/>
        <v>0</v>
      </c>
      <c r="F81" s="28">
        <f t="shared" si="38"/>
        <v>0</v>
      </c>
      <c r="G81" s="28">
        <f t="shared" si="38"/>
        <v>0</v>
      </c>
      <c r="H81" s="28">
        <f t="shared" si="38"/>
        <v>0</v>
      </c>
      <c r="I81" s="28">
        <f t="shared" si="38"/>
        <v>6.5</v>
      </c>
      <c r="J81" s="28">
        <f t="shared" si="38"/>
        <v>0</v>
      </c>
      <c r="K81" s="28">
        <f t="shared" si="38"/>
        <v>0</v>
      </c>
      <c r="L81" s="28">
        <f t="shared" si="38"/>
        <v>0</v>
      </c>
      <c r="M81" s="28">
        <f t="shared" si="38"/>
        <v>0</v>
      </c>
      <c r="N81" s="28">
        <f t="shared" si="38"/>
        <v>0</v>
      </c>
      <c r="O81" s="28">
        <f t="shared" si="38"/>
        <v>0</v>
      </c>
      <c r="P81" s="28">
        <f t="shared" si="38"/>
        <v>0</v>
      </c>
      <c r="Q81" s="28">
        <f t="shared" si="38"/>
        <v>0</v>
      </c>
      <c r="R81" s="28">
        <f t="shared" si="38"/>
        <v>0</v>
      </c>
      <c r="S81" s="28">
        <f t="shared" si="38"/>
        <v>0</v>
      </c>
      <c r="T81" s="28">
        <f t="shared" si="38"/>
        <v>0</v>
      </c>
      <c r="U81" s="28">
        <f t="shared" si="38"/>
        <v>0</v>
      </c>
      <c r="V81" s="28">
        <f t="shared" si="38"/>
        <v>0</v>
      </c>
      <c r="W81" s="28">
        <f t="shared" si="38"/>
        <v>0</v>
      </c>
    </row>
    <row r="82" spans="2:23" x14ac:dyDescent="0.25">
      <c r="B82" s="54" t="s">
        <v>127</v>
      </c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</row>
    <row r="84" spans="2:23" x14ac:dyDescent="0.25">
      <c r="B84" s="27" t="s">
        <v>47</v>
      </c>
      <c r="C84" s="52">
        <f>SUM(C81:W81)</f>
        <v>6.5</v>
      </c>
    </row>
    <row r="85" spans="2:23" x14ac:dyDescent="0.25">
      <c r="B85" s="27" t="s">
        <v>48</v>
      </c>
      <c r="C85" s="59">
        <f>IRR(C71:W71)</f>
        <v>0.10460280405410005</v>
      </c>
    </row>
    <row r="86" spans="2:23" x14ac:dyDescent="0.25">
      <c r="B86" s="27" t="s">
        <v>122</v>
      </c>
      <c r="C86" s="53">
        <f>IRR(C79:W79)</f>
        <v>0.16586791237421861</v>
      </c>
    </row>
    <row r="88" spans="2:23" x14ac:dyDescent="0.25">
      <c r="B88" s="27" t="s">
        <v>51</v>
      </c>
      <c r="C88" s="43">
        <f>C57/D9</f>
        <v>400.00000000000006</v>
      </c>
      <c r="D88" s="29" t="s">
        <v>52</v>
      </c>
    </row>
    <row r="89" spans="2:23" x14ac:dyDescent="0.25">
      <c r="B89" s="27" t="s">
        <v>130</v>
      </c>
      <c r="C89" s="45">
        <f>SUM(D76:W76)/20/D9</f>
        <v>96.202439778572469</v>
      </c>
      <c r="D89" s="29" t="s">
        <v>54</v>
      </c>
    </row>
    <row r="90" spans="2:23" x14ac:dyDescent="0.25">
      <c r="B90" s="27" t="s">
        <v>128</v>
      </c>
      <c r="C90" s="43">
        <f>SUM(D79:W79)/D9</f>
        <v>1924.0487955714491</v>
      </c>
      <c r="D90" s="29" t="s">
        <v>52</v>
      </c>
    </row>
    <row r="91" spans="2:23" x14ac:dyDescent="0.25">
      <c r="B91" s="27" t="s">
        <v>129</v>
      </c>
      <c r="C91" s="83">
        <f>W80/D9</f>
        <v>1524.0487955714489</v>
      </c>
      <c r="D91" s="29" t="s">
        <v>52</v>
      </c>
    </row>
  </sheetData>
  <pageMargins left="0.7" right="0.7" top="0.75" bottom="0.75" header="0.3" footer="0.3"/>
  <pageSetup paperSize="9" orientation="portrait" r:id="rId1"/>
  <ignoredErrors>
    <ignoredError sqref="D47:W47 D45:W45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2:W98"/>
  <sheetViews>
    <sheetView showGridLines="0" topLeftCell="A55" zoomScale="90" zoomScaleNormal="90" workbookViewId="0">
      <selection activeCell="C58" sqref="C58:C59"/>
    </sheetView>
  </sheetViews>
  <sheetFormatPr defaultColWidth="8.90625" defaultRowHeight="11.5" x14ac:dyDescent="0.25"/>
  <cols>
    <col min="1" max="1" width="8.90625" style="29"/>
    <col min="2" max="2" width="40.81640625" style="29" customWidth="1"/>
    <col min="3" max="3" width="8.90625" style="28" customWidth="1"/>
    <col min="4" max="4" width="8.90625" style="29" customWidth="1"/>
    <col min="5" max="6" width="8.90625" style="29"/>
    <col min="7" max="7" width="8.90625" style="29" customWidth="1"/>
    <col min="8" max="8" width="8.90625" style="28" customWidth="1"/>
    <col min="9" max="10" width="8.90625" style="29" customWidth="1"/>
    <col min="11" max="11" width="8.90625" style="29"/>
    <col min="12" max="12" width="8.90625" style="29" customWidth="1"/>
    <col min="13" max="16384" width="8.90625" style="29"/>
  </cols>
  <sheetData>
    <row r="2" spans="2:8" x14ac:dyDescent="0.25">
      <c r="B2" s="84" t="s">
        <v>137</v>
      </c>
      <c r="H2" s="86" t="s">
        <v>135</v>
      </c>
    </row>
    <row r="4" spans="2:8" x14ac:dyDescent="0.25">
      <c r="B4" s="27" t="s">
        <v>0</v>
      </c>
      <c r="G4" s="27"/>
    </row>
    <row r="5" spans="2:8" x14ac:dyDescent="0.25">
      <c r="G5" s="27"/>
    </row>
    <row r="6" spans="2:8" x14ac:dyDescent="0.25">
      <c r="B6" s="30" t="s">
        <v>1</v>
      </c>
      <c r="C6" s="31" t="s">
        <v>4</v>
      </c>
      <c r="D6" s="31" t="s">
        <v>11</v>
      </c>
      <c r="G6" s="27"/>
    </row>
    <row r="7" spans="2:8" x14ac:dyDescent="0.25">
      <c r="B7" s="32" t="s">
        <v>10</v>
      </c>
      <c r="C7" s="28" t="s">
        <v>5</v>
      </c>
      <c r="D7" s="33">
        <v>200</v>
      </c>
      <c r="G7" s="27"/>
    </row>
    <row r="8" spans="2:8" x14ac:dyDescent="0.25">
      <c r="B8" s="32" t="s">
        <v>9</v>
      </c>
      <c r="C8" s="28" t="s">
        <v>6</v>
      </c>
      <c r="D8" s="33">
        <v>1200</v>
      </c>
      <c r="G8" s="27"/>
    </row>
    <row r="9" spans="2:8" x14ac:dyDescent="0.25">
      <c r="B9" s="32" t="s">
        <v>21</v>
      </c>
      <c r="C9" s="28" t="s">
        <v>11</v>
      </c>
      <c r="D9" s="85">
        <v>180</v>
      </c>
      <c r="G9" s="27"/>
    </row>
    <row r="10" spans="2:8" x14ac:dyDescent="0.25">
      <c r="B10" s="32" t="s">
        <v>35</v>
      </c>
      <c r="C10" s="28" t="s">
        <v>7</v>
      </c>
      <c r="D10" s="37">
        <v>0</v>
      </c>
      <c r="G10" s="27"/>
    </row>
    <row r="11" spans="2:8" x14ac:dyDescent="0.25">
      <c r="B11" s="32" t="s">
        <v>8</v>
      </c>
      <c r="C11" s="28" t="s">
        <v>7</v>
      </c>
      <c r="D11" s="37">
        <v>0.75</v>
      </c>
      <c r="G11" s="27"/>
    </row>
    <row r="12" spans="2:8" x14ac:dyDescent="0.25">
      <c r="B12" s="32" t="s">
        <v>38</v>
      </c>
      <c r="C12" s="28" t="s">
        <v>39</v>
      </c>
      <c r="D12" s="40">
        <v>20</v>
      </c>
      <c r="G12" s="27"/>
    </row>
    <row r="13" spans="2:8" x14ac:dyDescent="0.25">
      <c r="B13" s="32" t="s">
        <v>49</v>
      </c>
      <c r="D13" s="41">
        <v>-4.0000000000000001E-3</v>
      </c>
      <c r="G13" s="27"/>
    </row>
    <row r="14" spans="2:8" x14ac:dyDescent="0.25">
      <c r="G14" s="27"/>
    </row>
    <row r="15" spans="2:8" x14ac:dyDescent="0.25">
      <c r="B15" s="30" t="s">
        <v>3</v>
      </c>
      <c r="G15" s="27"/>
    </row>
    <row r="16" spans="2:8" x14ac:dyDescent="0.25">
      <c r="B16" s="32" t="s">
        <v>13</v>
      </c>
      <c r="C16" s="28" t="s">
        <v>12</v>
      </c>
      <c r="D16" s="42">
        <v>9.6000000000000002E-2</v>
      </c>
      <c r="G16" s="27"/>
    </row>
    <row r="17" spans="2:23" x14ac:dyDescent="0.25">
      <c r="B17" s="32" t="s">
        <v>14</v>
      </c>
      <c r="C17" s="28" t="s">
        <v>12</v>
      </c>
      <c r="D17" s="42">
        <f>D16+0.15</f>
        <v>0.246</v>
      </c>
      <c r="G17" s="27"/>
    </row>
    <row r="18" spans="2:23" x14ac:dyDescent="0.25">
      <c r="B18" s="32" t="s">
        <v>15</v>
      </c>
      <c r="C18" s="28" t="s">
        <v>12</v>
      </c>
      <c r="D18" s="42">
        <v>0.11</v>
      </c>
      <c r="G18" s="27"/>
    </row>
    <row r="19" spans="2:23" x14ac:dyDescent="0.25">
      <c r="B19" s="32" t="s">
        <v>19</v>
      </c>
      <c r="C19" s="28" t="s">
        <v>12</v>
      </c>
      <c r="D19" s="42">
        <v>8.5000000000000006E-3</v>
      </c>
      <c r="G19" s="27"/>
    </row>
    <row r="20" spans="2:23" x14ac:dyDescent="0.25">
      <c r="G20" s="27"/>
    </row>
    <row r="21" spans="2:23" x14ac:dyDescent="0.25">
      <c r="B21" s="32" t="s">
        <v>16</v>
      </c>
      <c r="C21" s="28" t="s">
        <v>17</v>
      </c>
      <c r="D21" s="33">
        <v>1080</v>
      </c>
      <c r="E21" s="35">
        <f>D21*D7</f>
        <v>216000</v>
      </c>
      <c r="G21" s="27"/>
    </row>
    <row r="22" spans="2:23" x14ac:dyDescent="0.25">
      <c r="B22" s="32" t="s">
        <v>57</v>
      </c>
      <c r="C22" s="28" t="s">
        <v>59</v>
      </c>
      <c r="D22" s="33">
        <v>15.838100000000003</v>
      </c>
      <c r="E22" s="35"/>
      <c r="G22" s="27"/>
    </row>
    <row r="23" spans="2:23" x14ac:dyDescent="0.25">
      <c r="B23" s="32" t="s">
        <v>60</v>
      </c>
      <c r="C23" s="28" t="s">
        <v>39</v>
      </c>
      <c r="D23" s="33">
        <v>10</v>
      </c>
      <c r="E23" s="35"/>
      <c r="G23" s="27"/>
    </row>
    <row r="24" spans="2:23" x14ac:dyDescent="0.25">
      <c r="B24" s="32" t="s">
        <v>18</v>
      </c>
      <c r="C24" s="28" t="s">
        <v>20</v>
      </c>
      <c r="D24" s="44">
        <v>0.03</v>
      </c>
      <c r="G24" s="27"/>
    </row>
    <row r="25" spans="2:23" x14ac:dyDescent="0.25">
      <c r="B25" s="32" t="s">
        <v>42</v>
      </c>
      <c r="C25" s="28" t="s">
        <v>7</v>
      </c>
      <c r="D25" s="37">
        <v>0.28000000000000003</v>
      </c>
      <c r="G25" s="32"/>
    </row>
    <row r="26" spans="2:23" x14ac:dyDescent="0.25">
      <c r="B26" s="32"/>
      <c r="G26" s="32"/>
    </row>
    <row r="27" spans="2:23" x14ac:dyDescent="0.25">
      <c r="B27" s="32"/>
      <c r="G27" s="32"/>
    </row>
    <row r="28" spans="2:23" x14ac:dyDescent="0.25">
      <c r="B28" s="30" t="s">
        <v>55</v>
      </c>
      <c r="G28" s="32"/>
    </row>
    <row r="30" spans="2:23" x14ac:dyDescent="0.25">
      <c r="B30" s="54" t="s">
        <v>66</v>
      </c>
      <c r="C30" s="55">
        <v>0</v>
      </c>
      <c r="D30" s="55">
        <v>1</v>
      </c>
      <c r="E30" s="55">
        <v>2</v>
      </c>
      <c r="F30" s="55">
        <v>3</v>
      </c>
      <c r="G30" s="55">
        <v>4</v>
      </c>
      <c r="H30" s="55">
        <v>5</v>
      </c>
      <c r="I30" s="55">
        <v>6</v>
      </c>
      <c r="J30" s="55">
        <v>7</v>
      </c>
      <c r="K30" s="55">
        <v>8</v>
      </c>
      <c r="L30" s="55">
        <v>9</v>
      </c>
      <c r="M30" s="55">
        <v>10</v>
      </c>
      <c r="N30" s="55">
        <v>11</v>
      </c>
      <c r="O30" s="55">
        <v>12</v>
      </c>
      <c r="P30" s="55">
        <v>13</v>
      </c>
      <c r="Q30" s="55">
        <v>14</v>
      </c>
      <c r="R30" s="55">
        <v>15</v>
      </c>
      <c r="S30" s="55">
        <v>16</v>
      </c>
      <c r="T30" s="55">
        <v>17</v>
      </c>
      <c r="U30" s="55">
        <v>18</v>
      </c>
      <c r="V30" s="55">
        <v>19</v>
      </c>
      <c r="W30" s="55">
        <v>20</v>
      </c>
    </row>
    <row r="31" spans="2:23" x14ac:dyDescent="0.25">
      <c r="B31" s="29" t="s">
        <v>25</v>
      </c>
      <c r="D31" s="35">
        <f>$D$7*$D$8</f>
        <v>240000</v>
      </c>
      <c r="E31" s="35">
        <f>D31*(1+$D$13)</f>
        <v>239040</v>
      </c>
      <c r="F31" s="35">
        <f t="shared" ref="F31:W31" si="0">E31*(1+$D$13)</f>
        <v>238083.84</v>
      </c>
      <c r="G31" s="35">
        <f t="shared" si="0"/>
        <v>237131.50464</v>
      </c>
      <c r="H31" s="35">
        <f t="shared" si="0"/>
        <v>236182.97862144001</v>
      </c>
      <c r="I31" s="35">
        <f t="shared" si="0"/>
        <v>235238.24670695426</v>
      </c>
      <c r="J31" s="35">
        <f t="shared" si="0"/>
        <v>234297.29372012644</v>
      </c>
      <c r="K31" s="35">
        <f t="shared" si="0"/>
        <v>233360.10454524594</v>
      </c>
      <c r="L31" s="35">
        <f t="shared" si="0"/>
        <v>232426.66412706496</v>
      </c>
      <c r="M31" s="35">
        <f t="shared" si="0"/>
        <v>231496.95747055669</v>
      </c>
      <c r="N31" s="35">
        <f t="shared" si="0"/>
        <v>230570.96964067448</v>
      </c>
      <c r="O31" s="35">
        <f t="shared" si="0"/>
        <v>229648.68576211177</v>
      </c>
      <c r="P31" s="35">
        <f t="shared" si="0"/>
        <v>228730.09101906331</v>
      </c>
      <c r="Q31" s="35">
        <f t="shared" si="0"/>
        <v>227815.17065498707</v>
      </c>
      <c r="R31" s="35">
        <f t="shared" si="0"/>
        <v>226903.90997236711</v>
      </c>
      <c r="S31" s="35">
        <f t="shared" si="0"/>
        <v>225996.29433247764</v>
      </c>
      <c r="T31" s="35">
        <f t="shared" si="0"/>
        <v>225092.30915514773</v>
      </c>
      <c r="U31" s="35">
        <f t="shared" si="0"/>
        <v>224191.93991852715</v>
      </c>
      <c r="V31" s="35">
        <f t="shared" si="0"/>
        <v>223295.17215885303</v>
      </c>
      <c r="W31" s="35">
        <f t="shared" si="0"/>
        <v>222401.99147021762</v>
      </c>
    </row>
    <row r="32" spans="2:23" x14ac:dyDescent="0.25">
      <c r="B32" s="29" t="s">
        <v>26</v>
      </c>
      <c r="D32" s="35">
        <f>$D$10*D31</f>
        <v>0</v>
      </c>
      <c r="E32" s="35">
        <f t="shared" ref="E32:W32" si="1">$D$10*E31</f>
        <v>0</v>
      </c>
      <c r="F32" s="35">
        <f t="shared" si="1"/>
        <v>0</v>
      </c>
      <c r="G32" s="35">
        <f t="shared" si="1"/>
        <v>0</v>
      </c>
      <c r="H32" s="35">
        <f t="shared" si="1"/>
        <v>0</v>
      </c>
      <c r="I32" s="35">
        <f t="shared" si="1"/>
        <v>0</v>
      </c>
      <c r="J32" s="35">
        <f t="shared" si="1"/>
        <v>0</v>
      </c>
      <c r="K32" s="35">
        <f t="shared" si="1"/>
        <v>0</v>
      </c>
      <c r="L32" s="35">
        <f t="shared" si="1"/>
        <v>0</v>
      </c>
      <c r="M32" s="35">
        <f t="shared" si="1"/>
        <v>0</v>
      </c>
      <c r="N32" s="35">
        <f t="shared" si="1"/>
        <v>0</v>
      </c>
      <c r="O32" s="35">
        <f t="shared" si="1"/>
        <v>0</v>
      </c>
      <c r="P32" s="35">
        <f t="shared" si="1"/>
        <v>0</v>
      </c>
      <c r="Q32" s="35">
        <f t="shared" si="1"/>
        <v>0</v>
      </c>
      <c r="R32" s="35">
        <f t="shared" si="1"/>
        <v>0</v>
      </c>
      <c r="S32" s="35">
        <f t="shared" si="1"/>
        <v>0</v>
      </c>
      <c r="T32" s="35">
        <f t="shared" si="1"/>
        <v>0</v>
      </c>
      <c r="U32" s="35">
        <f t="shared" si="1"/>
        <v>0</v>
      </c>
      <c r="V32" s="35">
        <f t="shared" si="1"/>
        <v>0</v>
      </c>
      <c r="W32" s="35">
        <f t="shared" si="1"/>
        <v>0</v>
      </c>
    </row>
    <row r="33" spans="2:23" x14ac:dyDescent="0.25">
      <c r="B33" s="29" t="s">
        <v>27</v>
      </c>
      <c r="D33" s="35">
        <f>$D$11*D31</f>
        <v>180000</v>
      </c>
      <c r="E33" s="35">
        <f t="shared" ref="E33:W33" si="2">$D$11*E31</f>
        <v>179280</v>
      </c>
      <c r="F33" s="35">
        <f t="shared" si="2"/>
        <v>178562.88</v>
      </c>
      <c r="G33" s="35">
        <f t="shared" si="2"/>
        <v>177848.62848000001</v>
      </c>
      <c r="H33" s="35">
        <f t="shared" si="2"/>
        <v>177137.23396608001</v>
      </c>
      <c r="I33" s="35">
        <f t="shared" si="2"/>
        <v>176428.68503021571</v>
      </c>
      <c r="J33" s="35">
        <f t="shared" si="2"/>
        <v>175722.97029009485</v>
      </c>
      <c r="K33" s="35">
        <f t="shared" si="2"/>
        <v>175020.07840893447</v>
      </c>
      <c r="L33" s="35">
        <f t="shared" si="2"/>
        <v>174319.99809529871</v>
      </c>
      <c r="M33" s="35">
        <f t="shared" si="2"/>
        <v>173622.71810291751</v>
      </c>
      <c r="N33" s="35">
        <f t="shared" si="2"/>
        <v>172928.22723050584</v>
      </c>
      <c r="O33" s="35">
        <f t="shared" si="2"/>
        <v>172236.51432158382</v>
      </c>
      <c r="P33" s="35">
        <f t="shared" si="2"/>
        <v>171547.5682642975</v>
      </c>
      <c r="Q33" s="35">
        <f t="shared" si="2"/>
        <v>170861.3779912403</v>
      </c>
      <c r="R33" s="35">
        <f t="shared" si="2"/>
        <v>170177.93247927533</v>
      </c>
      <c r="S33" s="35">
        <f t="shared" si="2"/>
        <v>169497.22074935824</v>
      </c>
      <c r="T33" s="35">
        <f t="shared" si="2"/>
        <v>168819.23186636079</v>
      </c>
      <c r="U33" s="35">
        <f t="shared" si="2"/>
        <v>168143.95493889536</v>
      </c>
      <c r="V33" s="35">
        <f t="shared" si="2"/>
        <v>167471.37911913978</v>
      </c>
      <c r="W33" s="35">
        <f t="shared" si="2"/>
        <v>166801.49360266322</v>
      </c>
    </row>
    <row r="35" spans="2:23" x14ac:dyDescent="0.25">
      <c r="B35" s="54" t="s">
        <v>67</v>
      </c>
      <c r="C35" s="55">
        <v>0</v>
      </c>
      <c r="D35" s="55">
        <v>1</v>
      </c>
      <c r="E35" s="55">
        <v>2</v>
      </c>
      <c r="F35" s="55">
        <v>3</v>
      </c>
      <c r="G35" s="55">
        <v>4</v>
      </c>
      <c r="H35" s="55">
        <v>5</v>
      </c>
      <c r="I35" s="55">
        <v>6</v>
      </c>
      <c r="J35" s="55">
        <v>7</v>
      </c>
      <c r="K35" s="55">
        <v>8</v>
      </c>
      <c r="L35" s="55">
        <v>9</v>
      </c>
      <c r="M35" s="55">
        <v>10</v>
      </c>
      <c r="N35" s="55">
        <v>11</v>
      </c>
      <c r="O35" s="55">
        <v>12</v>
      </c>
      <c r="P35" s="55">
        <v>13</v>
      </c>
      <c r="Q35" s="55">
        <v>14</v>
      </c>
      <c r="R35" s="55">
        <v>15</v>
      </c>
      <c r="S35" s="55">
        <v>16</v>
      </c>
      <c r="T35" s="55">
        <v>17</v>
      </c>
      <c r="U35" s="55">
        <v>18</v>
      </c>
      <c r="V35" s="55">
        <v>19</v>
      </c>
      <c r="W35" s="55">
        <v>20</v>
      </c>
    </row>
    <row r="36" spans="2:23" x14ac:dyDescent="0.25">
      <c r="B36" s="46" t="s">
        <v>29</v>
      </c>
      <c r="C36" s="47"/>
      <c r="D36" s="48">
        <f>SUM(D37:D39)</f>
        <v>15997.5</v>
      </c>
      <c r="E36" s="48">
        <f t="shared" ref="E36:W36" si="3">SUM(E37:E39)</f>
        <v>15933.51</v>
      </c>
      <c r="F36" s="48">
        <f t="shared" si="3"/>
        <v>15869.775960000001</v>
      </c>
      <c r="G36" s="48">
        <f t="shared" si="3"/>
        <v>15806.296856159999</v>
      </c>
      <c r="H36" s="48">
        <f t="shared" si="3"/>
        <v>15743.07166873536</v>
      </c>
      <c r="I36" s="48">
        <f t="shared" si="3"/>
        <v>15680.09938206042</v>
      </c>
      <c r="J36" s="48">
        <f t="shared" si="3"/>
        <v>15617.378984532179</v>
      </c>
      <c r="K36" s="48">
        <f t="shared" si="3"/>
        <v>15554.909468594049</v>
      </c>
      <c r="L36" s="48">
        <f t="shared" si="3"/>
        <v>15492.689830719672</v>
      </c>
      <c r="M36" s="48">
        <f t="shared" si="3"/>
        <v>15430.719071396794</v>
      </c>
      <c r="N36" s="48">
        <f t="shared" si="3"/>
        <v>15368.996195111207</v>
      </c>
      <c r="O36" s="48">
        <f t="shared" si="3"/>
        <v>15307.520210330762</v>
      </c>
      <c r="P36" s="48">
        <f t="shared" si="3"/>
        <v>15246.29012948944</v>
      </c>
      <c r="Q36" s="48">
        <f t="shared" si="3"/>
        <v>15185.304968971479</v>
      </c>
      <c r="R36" s="48">
        <f t="shared" si="3"/>
        <v>15124.563749095594</v>
      </c>
      <c r="S36" s="48">
        <f t="shared" si="3"/>
        <v>15064.065494099214</v>
      </c>
      <c r="T36" s="48">
        <f t="shared" si="3"/>
        <v>15003.809232122814</v>
      </c>
      <c r="U36" s="48">
        <f t="shared" si="3"/>
        <v>14943.793995194324</v>
      </c>
      <c r="V36" s="48">
        <f t="shared" si="3"/>
        <v>14884.018819213547</v>
      </c>
      <c r="W36" s="48">
        <f t="shared" si="3"/>
        <v>14824.482743936693</v>
      </c>
    </row>
    <row r="37" spans="2:23" x14ac:dyDescent="0.25">
      <c r="B37" s="32" t="s">
        <v>30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</row>
    <row r="38" spans="2:23" x14ac:dyDescent="0.25">
      <c r="B38" s="32" t="s">
        <v>31</v>
      </c>
      <c r="D38" s="35">
        <f>D32*$D$17*$D$10</f>
        <v>0</v>
      </c>
      <c r="E38" s="35">
        <f t="shared" ref="E38:W38" si="4">E32*$D$17*$D$10</f>
        <v>0</v>
      </c>
      <c r="F38" s="35">
        <f t="shared" si="4"/>
        <v>0</v>
      </c>
      <c r="G38" s="35">
        <f t="shared" si="4"/>
        <v>0</v>
      </c>
      <c r="H38" s="35">
        <f t="shared" si="4"/>
        <v>0</v>
      </c>
      <c r="I38" s="35">
        <f t="shared" si="4"/>
        <v>0</v>
      </c>
      <c r="J38" s="35">
        <f t="shared" si="4"/>
        <v>0</v>
      </c>
      <c r="K38" s="35">
        <f t="shared" si="4"/>
        <v>0</v>
      </c>
      <c r="L38" s="35">
        <f t="shared" si="4"/>
        <v>0</v>
      </c>
      <c r="M38" s="35">
        <f t="shared" si="4"/>
        <v>0</v>
      </c>
      <c r="N38" s="35">
        <f t="shared" si="4"/>
        <v>0</v>
      </c>
      <c r="O38" s="35">
        <f t="shared" si="4"/>
        <v>0</v>
      </c>
      <c r="P38" s="35">
        <f t="shared" si="4"/>
        <v>0</v>
      </c>
      <c r="Q38" s="35">
        <f t="shared" si="4"/>
        <v>0</v>
      </c>
      <c r="R38" s="35">
        <f t="shared" si="4"/>
        <v>0</v>
      </c>
      <c r="S38" s="35">
        <f t="shared" si="4"/>
        <v>0</v>
      </c>
      <c r="T38" s="35">
        <f t="shared" si="4"/>
        <v>0</v>
      </c>
      <c r="U38" s="35">
        <f t="shared" si="4"/>
        <v>0</v>
      </c>
      <c r="V38" s="35">
        <f t="shared" si="4"/>
        <v>0</v>
      </c>
      <c r="W38" s="35">
        <f t="shared" si="4"/>
        <v>0</v>
      </c>
    </row>
    <row r="39" spans="2:23" x14ac:dyDescent="0.25">
      <c r="B39" s="32" t="s">
        <v>32</v>
      </c>
      <c r="D39" s="35">
        <f>D33*($D$18+$D$19)*$D$11</f>
        <v>15997.5</v>
      </c>
      <c r="E39" s="35">
        <f t="shared" ref="E39:W39" si="5">E33*($D$18+$D$19)*$D$11</f>
        <v>15933.51</v>
      </c>
      <c r="F39" s="35">
        <f t="shared" si="5"/>
        <v>15869.775960000001</v>
      </c>
      <c r="G39" s="35">
        <f t="shared" si="5"/>
        <v>15806.296856159999</v>
      </c>
      <c r="H39" s="35">
        <f t="shared" si="5"/>
        <v>15743.07166873536</v>
      </c>
      <c r="I39" s="35">
        <f t="shared" si="5"/>
        <v>15680.09938206042</v>
      </c>
      <c r="J39" s="35">
        <f t="shared" si="5"/>
        <v>15617.378984532179</v>
      </c>
      <c r="K39" s="35">
        <f t="shared" si="5"/>
        <v>15554.909468594049</v>
      </c>
      <c r="L39" s="35">
        <f t="shared" si="5"/>
        <v>15492.689830719672</v>
      </c>
      <c r="M39" s="35">
        <f t="shared" si="5"/>
        <v>15430.719071396794</v>
      </c>
      <c r="N39" s="35">
        <f t="shared" si="5"/>
        <v>15368.996195111207</v>
      </c>
      <c r="O39" s="35">
        <f t="shared" si="5"/>
        <v>15307.520210330762</v>
      </c>
      <c r="P39" s="35">
        <f t="shared" si="5"/>
        <v>15246.29012948944</v>
      </c>
      <c r="Q39" s="35">
        <f t="shared" si="5"/>
        <v>15185.304968971479</v>
      </c>
      <c r="R39" s="35">
        <f t="shared" si="5"/>
        <v>15124.563749095594</v>
      </c>
      <c r="S39" s="35">
        <f t="shared" si="5"/>
        <v>15064.065494099214</v>
      </c>
      <c r="T39" s="35">
        <f t="shared" si="5"/>
        <v>15003.809232122814</v>
      </c>
      <c r="U39" s="35">
        <f t="shared" si="5"/>
        <v>14943.793995194324</v>
      </c>
      <c r="V39" s="35">
        <f t="shared" si="5"/>
        <v>14884.018819213547</v>
      </c>
      <c r="W39" s="35">
        <f t="shared" si="5"/>
        <v>14824.482743936693</v>
      </c>
    </row>
    <row r="40" spans="2:23" x14ac:dyDescent="0.25">
      <c r="B40" s="46" t="s">
        <v>33</v>
      </c>
      <c r="C40" s="47"/>
      <c r="D40" s="48">
        <f t="shared" ref="D40" si="6">D41+D42</f>
        <v>-9647.6200000000008</v>
      </c>
      <c r="E40" s="48">
        <f>E41+E42</f>
        <v>-9647.6200000000008</v>
      </c>
      <c r="F40" s="48">
        <f t="shared" ref="F40:W40" si="7">F41+F42</f>
        <v>-9647.6200000000008</v>
      </c>
      <c r="G40" s="48">
        <f t="shared" si="7"/>
        <v>-9647.6200000000008</v>
      </c>
      <c r="H40" s="48">
        <f t="shared" si="7"/>
        <v>-9647.6200000000008</v>
      </c>
      <c r="I40" s="48">
        <f t="shared" si="7"/>
        <v>-9647.6200000000008</v>
      </c>
      <c r="J40" s="48">
        <f t="shared" si="7"/>
        <v>-9647.6200000000008</v>
      </c>
      <c r="K40" s="48">
        <f t="shared" si="7"/>
        <v>-9647.6200000000008</v>
      </c>
      <c r="L40" s="48">
        <f t="shared" si="7"/>
        <v>-9647.6200000000008</v>
      </c>
      <c r="M40" s="48">
        <f t="shared" si="7"/>
        <v>-9647.6200000000008</v>
      </c>
      <c r="N40" s="48">
        <f t="shared" si="7"/>
        <v>-6480</v>
      </c>
      <c r="O40" s="48">
        <f t="shared" si="7"/>
        <v>-6480</v>
      </c>
      <c r="P40" s="48">
        <f t="shared" si="7"/>
        <v>-6480</v>
      </c>
      <c r="Q40" s="48">
        <f t="shared" si="7"/>
        <v>-6480</v>
      </c>
      <c r="R40" s="48">
        <f t="shared" si="7"/>
        <v>-6480</v>
      </c>
      <c r="S40" s="48">
        <f t="shared" si="7"/>
        <v>-6480</v>
      </c>
      <c r="T40" s="48">
        <f t="shared" si="7"/>
        <v>-6480</v>
      </c>
      <c r="U40" s="48">
        <f t="shared" si="7"/>
        <v>-6480</v>
      </c>
      <c r="V40" s="48">
        <f t="shared" si="7"/>
        <v>-6480</v>
      </c>
      <c r="W40" s="48">
        <f t="shared" si="7"/>
        <v>-6480</v>
      </c>
    </row>
    <row r="41" spans="2:23" x14ac:dyDescent="0.25">
      <c r="B41" s="32" t="s">
        <v>63</v>
      </c>
      <c r="D41" s="35">
        <f>-D79</f>
        <v>-3167.6200000000003</v>
      </c>
      <c r="E41" s="35">
        <f t="shared" ref="E41:W41" si="8">-E79</f>
        <v>-3167.6200000000003</v>
      </c>
      <c r="F41" s="35">
        <f t="shared" si="8"/>
        <v>-3167.6200000000003</v>
      </c>
      <c r="G41" s="35">
        <f t="shared" si="8"/>
        <v>-3167.6200000000003</v>
      </c>
      <c r="H41" s="35">
        <f t="shared" si="8"/>
        <v>-3167.6200000000003</v>
      </c>
      <c r="I41" s="35">
        <f t="shared" si="8"/>
        <v>-3167.6200000000003</v>
      </c>
      <c r="J41" s="35">
        <f t="shared" si="8"/>
        <v>-3167.6200000000003</v>
      </c>
      <c r="K41" s="35">
        <f t="shared" si="8"/>
        <v>-3167.6200000000003</v>
      </c>
      <c r="L41" s="35">
        <f t="shared" si="8"/>
        <v>-3167.6200000000003</v>
      </c>
      <c r="M41" s="35">
        <f t="shared" si="8"/>
        <v>-3167.6200000000003</v>
      </c>
      <c r="N41" s="35">
        <f t="shared" si="8"/>
        <v>0</v>
      </c>
      <c r="O41" s="35">
        <f t="shared" si="8"/>
        <v>0</v>
      </c>
      <c r="P41" s="35">
        <f t="shared" si="8"/>
        <v>0</v>
      </c>
      <c r="Q41" s="35">
        <f t="shared" si="8"/>
        <v>0</v>
      </c>
      <c r="R41" s="35">
        <f t="shared" si="8"/>
        <v>0</v>
      </c>
      <c r="S41" s="35">
        <f t="shared" si="8"/>
        <v>0</v>
      </c>
      <c r="T41" s="35">
        <f t="shared" si="8"/>
        <v>0</v>
      </c>
      <c r="U41" s="35">
        <f t="shared" si="8"/>
        <v>0</v>
      </c>
      <c r="V41" s="35">
        <f t="shared" si="8"/>
        <v>0</v>
      </c>
      <c r="W41" s="35">
        <f t="shared" si="8"/>
        <v>0</v>
      </c>
    </row>
    <row r="42" spans="2:23" x14ac:dyDescent="0.25">
      <c r="B42" s="32" t="s">
        <v>64</v>
      </c>
      <c r="D42" s="35">
        <f>D82</f>
        <v>-6480</v>
      </c>
      <c r="E42" s="35">
        <f t="shared" ref="E42:W42" si="9">E82</f>
        <v>-6480</v>
      </c>
      <c r="F42" s="35">
        <f t="shared" si="9"/>
        <v>-6480</v>
      </c>
      <c r="G42" s="35">
        <f t="shared" si="9"/>
        <v>-6480</v>
      </c>
      <c r="H42" s="35">
        <f t="shared" si="9"/>
        <v>-6480</v>
      </c>
      <c r="I42" s="35">
        <f t="shared" si="9"/>
        <v>-6480</v>
      </c>
      <c r="J42" s="35">
        <f t="shared" si="9"/>
        <v>-6480</v>
      </c>
      <c r="K42" s="35">
        <f t="shared" si="9"/>
        <v>-6480</v>
      </c>
      <c r="L42" s="35">
        <f t="shared" si="9"/>
        <v>-6480</v>
      </c>
      <c r="M42" s="35">
        <f t="shared" si="9"/>
        <v>-6480</v>
      </c>
      <c r="N42" s="35">
        <f t="shared" si="9"/>
        <v>-6480</v>
      </c>
      <c r="O42" s="35">
        <f t="shared" si="9"/>
        <v>-6480</v>
      </c>
      <c r="P42" s="35">
        <f t="shared" si="9"/>
        <v>-6480</v>
      </c>
      <c r="Q42" s="35">
        <f t="shared" si="9"/>
        <v>-6480</v>
      </c>
      <c r="R42" s="35">
        <f t="shared" si="9"/>
        <v>-6480</v>
      </c>
      <c r="S42" s="35">
        <f t="shared" si="9"/>
        <v>-6480</v>
      </c>
      <c r="T42" s="35">
        <f t="shared" si="9"/>
        <v>-6480</v>
      </c>
      <c r="U42" s="35">
        <f t="shared" si="9"/>
        <v>-6480</v>
      </c>
      <c r="V42" s="35">
        <f t="shared" si="9"/>
        <v>-6480</v>
      </c>
      <c r="W42" s="35">
        <f t="shared" si="9"/>
        <v>-6480</v>
      </c>
    </row>
    <row r="43" spans="2:23" x14ac:dyDescent="0.25">
      <c r="B43" s="49" t="s">
        <v>36</v>
      </c>
      <c r="C43" s="50"/>
      <c r="D43" s="51">
        <f>D36+D40</f>
        <v>6349.8799999999992</v>
      </c>
      <c r="E43" s="51">
        <f t="shared" ref="E43:W43" si="10">E36+E40</f>
        <v>6285.8899999999994</v>
      </c>
      <c r="F43" s="51">
        <f t="shared" si="10"/>
        <v>6222.1559600000001</v>
      </c>
      <c r="G43" s="51">
        <f t="shared" si="10"/>
        <v>6158.6768561599984</v>
      </c>
      <c r="H43" s="51">
        <f t="shared" si="10"/>
        <v>6095.4516687353589</v>
      </c>
      <c r="I43" s="51">
        <f t="shared" si="10"/>
        <v>6032.4793820604191</v>
      </c>
      <c r="J43" s="51">
        <f t="shared" si="10"/>
        <v>5969.7589845321781</v>
      </c>
      <c r="K43" s="51">
        <f t="shared" si="10"/>
        <v>5907.2894685940482</v>
      </c>
      <c r="L43" s="51">
        <f t="shared" si="10"/>
        <v>5845.0698307196708</v>
      </c>
      <c r="M43" s="51">
        <f t="shared" si="10"/>
        <v>5783.0990713967931</v>
      </c>
      <c r="N43" s="51">
        <f t="shared" si="10"/>
        <v>8888.9961951112073</v>
      </c>
      <c r="O43" s="51">
        <f t="shared" si="10"/>
        <v>8827.520210330762</v>
      </c>
      <c r="P43" s="51">
        <f t="shared" si="10"/>
        <v>8766.29012948944</v>
      </c>
      <c r="Q43" s="51">
        <f t="shared" si="10"/>
        <v>8705.304968971479</v>
      </c>
      <c r="R43" s="51">
        <f t="shared" si="10"/>
        <v>8644.5637490955942</v>
      </c>
      <c r="S43" s="51">
        <f t="shared" si="10"/>
        <v>8584.0654940992135</v>
      </c>
      <c r="T43" s="51">
        <f t="shared" si="10"/>
        <v>8523.8092321228141</v>
      </c>
      <c r="U43" s="51">
        <f t="shared" si="10"/>
        <v>8463.7939951943245</v>
      </c>
      <c r="V43" s="51">
        <f t="shared" si="10"/>
        <v>8404.0188192135465</v>
      </c>
      <c r="W43" s="51">
        <f t="shared" si="10"/>
        <v>8344.4827439366927</v>
      </c>
    </row>
    <row r="44" spans="2:23" x14ac:dyDescent="0.25">
      <c r="B44" s="32" t="s">
        <v>37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</row>
    <row r="45" spans="2:23" x14ac:dyDescent="0.25">
      <c r="B45" s="49" t="s">
        <v>40</v>
      </c>
      <c r="C45" s="50"/>
      <c r="D45" s="51">
        <f t="shared" ref="D45:W45" si="11">D43+D44</f>
        <v>6349.8799999999992</v>
      </c>
      <c r="E45" s="51">
        <f t="shared" si="11"/>
        <v>6285.8899999999994</v>
      </c>
      <c r="F45" s="51">
        <f t="shared" si="11"/>
        <v>6222.1559600000001</v>
      </c>
      <c r="G45" s="51">
        <f t="shared" si="11"/>
        <v>6158.6768561599984</v>
      </c>
      <c r="H45" s="51">
        <f t="shared" si="11"/>
        <v>6095.4516687353589</v>
      </c>
      <c r="I45" s="51">
        <f t="shared" si="11"/>
        <v>6032.4793820604191</v>
      </c>
      <c r="J45" s="51">
        <f t="shared" si="11"/>
        <v>5969.7589845321781</v>
      </c>
      <c r="K45" s="51">
        <f t="shared" si="11"/>
        <v>5907.2894685940482</v>
      </c>
      <c r="L45" s="51">
        <f t="shared" si="11"/>
        <v>5845.0698307196708</v>
      </c>
      <c r="M45" s="51">
        <f t="shared" si="11"/>
        <v>5783.0990713967931</v>
      </c>
      <c r="N45" s="51">
        <f t="shared" si="11"/>
        <v>8888.9961951112073</v>
      </c>
      <c r="O45" s="51">
        <f t="shared" si="11"/>
        <v>8827.520210330762</v>
      </c>
      <c r="P45" s="51">
        <f t="shared" si="11"/>
        <v>8766.29012948944</v>
      </c>
      <c r="Q45" s="51">
        <f t="shared" si="11"/>
        <v>8705.304968971479</v>
      </c>
      <c r="R45" s="51">
        <f t="shared" si="11"/>
        <v>8644.5637490955942</v>
      </c>
      <c r="S45" s="51">
        <f t="shared" si="11"/>
        <v>8584.0654940992135</v>
      </c>
      <c r="T45" s="51">
        <f t="shared" si="11"/>
        <v>8523.8092321228141</v>
      </c>
      <c r="U45" s="51">
        <f t="shared" si="11"/>
        <v>8463.7939951943245</v>
      </c>
      <c r="V45" s="51">
        <f t="shared" si="11"/>
        <v>8404.0188192135465</v>
      </c>
      <c r="W45" s="51">
        <f t="shared" si="11"/>
        <v>8344.4827439366927</v>
      </c>
    </row>
    <row r="46" spans="2:23" x14ac:dyDescent="0.25">
      <c r="B46" s="32" t="s">
        <v>41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</row>
    <row r="47" spans="2:23" x14ac:dyDescent="0.25">
      <c r="B47" s="49" t="s">
        <v>43</v>
      </c>
      <c r="C47" s="50"/>
      <c r="D47" s="51">
        <f>D45+D46</f>
        <v>6349.8799999999992</v>
      </c>
      <c r="E47" s="51">
        <f t="shared" ref="E47:W47" si="12">E45+E46</f>
        <v>6285.8899999999994</v>
      </c>
      <c r="F47" s="51">
        <f t="shared" si="12"/>
        <v>6222.1559600000001</v>
      </c>
      <c r="G47" s="51">
        <f t="shared" si="12"/>
        <v>6158.6768561599984</v>
      </c>
      <c r="H47" s="51">
        <f t="shared" si="12"/>
        <v>6095.4516687353589</v>
      </c>
      <c r="I47" s="51">
        <f t="shared" si="12"/>
        <v>6032.4793820604191</v>
      </c>
      <c r="J47" s="51">
        <f t="shared" si="12"/>
        <v>5969.7589845321781</v>
      </c>
      <c r="K47" s="51">
        <f t="shared" si="12"/>
        <v>5907.2894685940482</v>
      </c>
      <c r="L47" s="51">
        <f t="shared" si="12"/>
        <v>5845.0698307196708</v>
      </c>
      <c r="M47" s="51">
        <f t="shared" si="12"/>
        <v>5783.0990713967931</v>
      </c>
      <c r="N47" s="51">
        <f t="shared" si="12"/>
        <v>8888.9961951112073</v>
      </c>
      <c r="O47" s="51">
        <f t="shared" si="12"/>
        <v>8827.520210330762</v>
      </c>
      <c r="P47" s="51">
        <f t="shared" si="12"/>
        <v>8766.29012948944</v>
      </c>
      <c r="Q47" s="51">
        <f t="shared" si="12"/>
        <v>8705.304968971479</v>
      </c>
      <c r="R47" s="51">
        <f t="shared" si="12"/>
        <v>8644.5637490955942</v>
      </c>
      <c r="S47" s="51">
        <f t="shared" si="12"/>
        <v>8584.0654940992135</v>
      </c>
      <c r="T47" s="51">
        <f t="shared" si="12"/>
        <v>8523.8092321228141</v>
      </c>
      <c r="U47" s="51">
        <f t="shared" si="12"/>
        <v>8463.7939951943245</v>
      </c>
      <c r="V47" s="51">
        <f t="shared" si="12"/>
        <v>8404.0188192135465</v>
      </c>
      <c r="W47" s="51">
        <f t="shared" si="12"/>
        <v>8344.4827439366927</v>
      </c>
    </row>
    <row r="48" spans="2:23" x14ac:dyDescent="0.25">
      <c r="D48" s="38">
        <f t="shared" ref="D48:W48" si="13">D47/D36</f>
        <v>0.39692952023753708</v>
      </c>
      <c r="E48" s="38">
        <f t="shared" si="13"/>
        <v>0.39450755043929425</v>
      </c>
      <c r="F48" s="38">
        <f t="shared" si="13"/>
        <v>0.39207585385471311</v>
      </c>
      <c r="G48" s="38">
        <f t="shared" si="13"/>
        <v>0.38963439142039463</v>
      </c>
      <c r="H48" s="38">
        <f t="shared" si="13"/>
        <v>0.38718312391605891</v>
      </c>
      <c r="I48" s="38">
        <f t="shared" si="13"/>
        <v>0.38472201196391465</v>
      </c>
      <c r="J48" s="38">
        <f t="shared" si="13"/>
        <v>0.38225101602802675</v>
      </c>
      <c r="K48" s="38">
        <f t="shared" si="13"/>
        <v>0.37977009641368142</v>
      </c>
      <c r="L48" s="38">
        <f t="shared" si="13"/>
        <v>0.3772792132667484</v>
      </c>
      <c r="M48" s="38">
        <f t="shared" si="13"/>
        <v>0.37477832657304055</v>
      </c>
      <c r="N48" s="38">
        <f t="shared" si="13"/>
        <v>0.5783719432462836</v>
      </c>
      <c r="O48" s="38">
        <f t="shared" si="13"/>
        <v>0.57667865787779471</v>
      </c>
      <c r="P48" s="38">
        <f t="shared" si="13"/>
        <v>0.57497857216646064</v>
      </c>
      <c r="Q48" s="38">
        <f t="shared" si="13"/>
        <v>0.57327165880166719</v>
      </c>
      <c r="R48" s="38">
        <f t="shared" si="13"/>
        <v>0.57155789036311966</v>
      </c>
      <c r="S48" s="38">
        <f t="shared" si="13"/>
        <v>0.56983723932040131</v>
      </c>
      <c r="T48" s="38">
        <f t="shared" si="13"/>
        <v>0.56810967803253143</v>
      </c>
      <c r="U48" s="38">
        <f t="shared" si="13"/>
        <v>0.56637517874752152</v>
      </c>
      <c r="V48" s="38">
        <f t="shared" si="13"/>
        <v>0.56463371360192927</v>
      </c>
      <c r="W48" s="38">
        <f t="shared" si="13"/>
        <v>0.56288525462041084</v>
      </c>
    </row>
    <row r="50" spans="2:23" x14ac:dyDescent="0.25">
      <c r="B50" s="54" t="s">
        <v>68</v>
      </c>
      <c r="C50" s="55">
        <v>0</v>
      </c>
      <c r="D50" s="55">
        <v>1</v>
      </c>
      <c r="E50" s="55">
        <v>2</v>
      </c>
      <c r="F50" s="55">
        <v>3</v>
      </c>
      <c r="G50" s="55">
        <v>4</v>
      </c>
      <c r="H50" s="55">
        <v>5</v>
      </c>
      <c r="I50" s="55">
        <v>6</v>
      </c>
      <c r="J50" s="55">
        <v>7</v>
      </c>
      <c r="K50" s="55">
        <v>8</v>
      </c>
      <c r="L50" s="55">
        <v>9</v>
      </c>
      <c r="M50" s="55">
        <v>10</v>
      </c>
      <c r="N50" s="55">
        <v>11</v>
      </c>
      <c r="O50" s="55">
        <v>12</v>
      </c>
      <c r="P50" s="55">
        <v>13</v>
      </c>
      <c r="Q50" s="55">
        <v>14</v>
      </c>
      <c r="R50" s="55">
        <v>15</v>
      </c>
      <c r="S50" s="55">
        <v>16</v>
      </c>
      <c r="T50" s="55">
        <v>17</v>
      </c>
      <c r="U50" s="55">
        <v>18</v>
      </c>
      <c r="V50" s="55">
        <v>19</v>
      </c>
      <c r="W50" s="55">
        <v>20</v>
      </c>
    </row>
    <row r="51" spans="2:23" x14ac:dyDescent="0.25">
      <c r="B51" s="32" t="s">
        <v>36</v>
      </c>
      <c r="D51" s="35">
        <f>D43</f>
        <v>6349.8799999999992</v>
      </c>
      <c r="E51" s="35">
        <f t="shared" ref="E51:W51" si="14">E43</f>
        <v>6285.8899999999994</v>
      </c>
      <c r="F51" s="35">
        <f t="shared" si="14"/>
        <v>6222.1559600000001</v>
      </c>
      <c r="G51" s="35">
        <f t="shared" si="14"/>
        <v>6158.6768561599984</v>
      </c>
      <c r="H51" s="35">
        <f t="shared" si="14"/>
        <v>6095.4516687353589</v>
      </c>
      <c r="I51" s="35">
        <f t="shared" si="14"/>
        <v>6032.4793820604191</v>
      </c>
      <c r="J51" s="35">
        <f t="shared" si="14"/>
        <v>5969.7589845321781</v>
      </c>
      <c r="K51" s="35">
        <f t="shared" si="14"/>
        <v>5907.2894685940482</v>
      </c>
      <c r="L51" s="35">
        <f t="shared" si="14"/>
        <v>5845.0698307196708</v>
      </c>
      <c r="M51" s="35">
        <f t="shared" si="14"/>
        <v>5783.0990713967931</v>
      </c>
      <c r="N51" s="35">
        <f t="shared" si="14"/>
        <v>8888.9961951112073</v>
      </c>
      <c r="O51" s="35">
        <f t="shared" si="14"/>
        <v>8827.520210330762</v>
      </c>
      <c r="P51" s="35">
        <f t="shared" si="14"/>
        <v>8766.29012948944</v>
      </c>
      <c r="Q51" s="35">
        <f t="shared" si="14"/>
        <v>8705.304968971479</v>
      </c>
      <c r="R51" s="35">
        <f t="shared" si="14"/>
        <v>8644.5637490955942</v>
      </c>
      <c r="S51" s="35">
        <f t="shared" si="14"/>
        <v>8584.0654940992135</v>
      </c>
      <c r="T51" s="35">
        <f t="shared" si="14"/>
        <v>8523.8092321228141</v>
      </c>
      <c r="U51" s="35">
        <f t="shared" si="14"/>
        <v>8463.7939951943245</v>
      </c>
      <c r="V51" s="35">
        <f t="shared" si="14"/>
        <v>8404.0188192135465</v>
      </c>
      <c r="W51" s="35">
        <f t="shared" si="14"/>
        <v>8344.4827439366927</v>
      </c>
    </row>
    <row r="52" spans="2:23" x14ac:dyDescent="0.25">
      <c r="B52" s="32" t="s">
        <v>41</v>
      </c>
      <c r="D52" s="35">
        <f>D46</f>
        <v>0</v>
      </c>
      <c r="E52" s="35">
        <f t="shared" ref="E52:W52" si="15">E46</f>
        <v>0</v>
      </c>
      <c r="F52" s="35">
        <f t="shared" si="15"/>
        <v>0</v>
      </c>
      <c r="G52" s="35">
        <f t="shared" si="15"/>
        <v>0</v>
      </c>
      <c r="H52" s="35">
        <f t="shared" si="15"/>
        <v>0</v>
      </c>
      <c r="I52" s="35">
        <f t="shared" si="15"/>
        <v>0</v>
      </c>
      <c r="J52" s="35">
        <f t="shared" si="15"/>
        <v>0</v>
      </c>
      <c r="K52" s="35">
        <f t="shared" si="15"/>
        <v>0</v>
      </c>
      <c r="L52" s="35">
        <f t="shared" si="15"/>
        <v>0</v>
      </c>
      <c r="M52" s="35">
        <f t="shared" si="15"/>
        <v>0</v>
      </c>
      <c r="N52" s="35">
        <f t="shared" si="15"/>
        <v>0</v>
      </c>
      <c r="O52" s="35">
        <f t="shared" si="15"/>
        <v>0</v>
      </c>
      <c r="P52" s="35">
        <f t="shared" si="15"/>
        <v>0</v>
      </c>
      <c r="Q52" s="35">
        <f t="shared" si="15"/>
        <v>0</v>
      </c>
      <c r="R52" s="35">
        <f t="shared" si="15"/>
        <v>0</v>
      </c>
      <c r="S52" s="35">
        <f t="shared" si="15"/>
        <v>0</v>
      </c>
      <c r="T52" s="35">
        <f t="shared" si="15"/>
        <v>0</v>
      </c>
      <c r="U52" s="35">
        <f t="shared" si="15"/>
        <v>0</v>
      </c>
      <c r="V52" s="35">
        <f t="shared" si="15"/>
        <v>0</v>
      </c>
      <c r="W52" s="35">
        <f t="shared" si="15"/>
        <v>0</v>
      </c>
    </row>
    <row r="53" spans="2:23" x14ac:dyDescent="0.25">
      <c r="B53" s="49" t="s">
        <v>126</v>
      </c>
      <c r="C53" s="51">
        <f t="shared" ref="C53:W53" si="16">SUM(C51:C52)</f>
        <v>0</v>
      </c>
      <c r="D53" s="51">
        <f t="shared" si="16"/>
        <v>6349.8799999999992</v>
      </c>
      <c r="E53" s="51">
        <f t="shared" si="16"/>
        <v>6285.8899999999994</v>
      </c>
      <c r="F53" s="51">
        <f t="shared" si="16"/>
        <v>6222.1559600000001</v>
      </c>
      <c r="G53" s="51">
        <f t="shared" si="16"/>
        <v>6158.6768561599984</v>
      </c>
      <c r="H53" s="51">
        <f t="shared" si="16"/>
        <v>6095.4516687353589</v>
      </c>
      <c r="I53" s="51">
        <f t="shared" si="16"/>
        <v>6032.4793820604191</v>
      </c>
      <c r="J53" s="51">
        <f t="shared" si="16"/>
        <v>5969.7589845321781</v>
      </c>
      <c r="K53" s="51">
        <f t="shared" si="16"/>
        <v>5907.2894685940482</v>
      </c>
      <c r="L53" s="51">
        <f t="shared" si="16"/>
        <v>5845.0698307196708</v>
      </c>
      <c r="M53" s="51">
        <f t="shared" si="16"/>
        <v>5783.0990713967931</v>
      </c>
      <c r="N53" s="51">
        <f t="shared" si="16"/>
        <v>8888.9961951112073</v>
      </c>
      <c r="O53" s="51">
        <f t="shared" si="16"/>
        <v>8827.520210330762</v>
      </c>
      <c r="P53" s="51">
        <f t="shared" si="16"/>
        <v>8766.29012948944</v>
      </c>
      <c r="Q53" s="51">
        <f t="shared" si="16"/>
        <v>8705.304968971479</v>
      </c>
      <c r="R53" s="51">
        <f t="shared" si="16"/>
        <v>8644.5637490955942</v>
      </c>
      <c r="S53" s="51">
        <f t="shared" si="16"/>
        <v>8584.0654940992135</v>
      </c>
      <c r="T53" s="51">
        <f t="shared" si="16"/>
        <v>8523.8092321228141</v>
      </c>
      <c r="U53" s="51">
        <f t="shared" si="16"/>
        <v>8463.7939951943245</v>
      </c>
      <c r="V53" s="51">
        <f t="shared" si="16"/>
        <v>8404.0188192135465</v>
      </c>
      <c r="W53" s="51">
        <f t="shared" si="16"/>
        <v>8344.4827439366927</v>
      </c>
    </row>
    <row r="54" spans="2:23" x14ac:dyDescent="0.25">
      <c r="B54" s="49" t="s">
        <v>125</v>
      </c>
      <c r="C54" s="51">
        <f t="shared" ref="C54" si="17">C53</f>
        <v>0</v>
      </c>
      <c r="D54" s="51">
        <f t="shared" ref="D54:W54" si="18">C54+D53</f>
        <v>6349.8799999999992</v>
      </c>
      <c r="E54" s="51">
        <f t="shared" si="18"/>
        <v>12635.769999999999</v>
      </c>
      <c r="F54" s="51">
        <f t="shared" si="18"/>
        <v>18857.92596</v>
      </c>
      <c r="G54" s="51">
        <f t="shared" si="18"/>
        <v>25016.602816159997</v>
      </c>
      <c r="H54" s="51">
        <f t="shared" si="18"/>
        <v>31112.054484895358</v>
      </c>
      <c r="I54" s="51">
        <f t="shared" si="18"/>
        <v>37144.533866955775</v>
      </c>
      <c r="J54" s="51">
        <f t="shared" si="18"/>
        <v>43114.292851487953</v>
      </c>
      <c r="K54" s="51">
        <f t="shared" si="18"/>
        <v>49021.582320082001</v>
      </c>
      <c r="L54" s="51">
        <f t="shared" si="18"/>
        <v>54866.652150801674</v>
      </c>
      <c r="M54" s="51">
        <f t="shared" si="18"/>
        <v>60649.751222198465</v>
      </c>
      <c r="N54" s="51">
        <f t="shared" si="18"/>
        <v>69538.747417309671</v>
      </c>
      <c r="O54" s="51">
        <f t="shared" si="18"/>
        <v>78366.267627640438</v>
      </c>
      <c r="P54" s="51">
        <f t="shared" si="18"/>
        <v>87132.557757129878</v>
      </c>
      <c r="Q54" s="51">
        <f t="shared" si="18"/>
        <v>95837.862726101361</v>
      </c>
      <c r="R54" s="51">
        <f t="shared" si="18"/>
        <v>104482.42647519696</v>
      </c>
      <c r="S54" s="51">
        <f t="shared" si="18"/>
        <v>113066.49196929617</v>
      </c>
      <c r="T54" s="51">
        <f t="shared" si="18"/>
        <v>121590.30120141899</v>
      </c>
      <c r="U54" s="51">
        <f t="shared" si="18"/>
        <v>130054.09519661331</v>
      </c>
      <c r="V54" s="51">
        <f t="shared" si="18"/>
        <v>138458.11401582687</v>
      </c>
      <c r="W54" s="51">
        <f t="shared" si="18"/>
        <v>146802.59675976355</v>
      </c>
    </row>
    <row r="55" spans="2:23" x14ac:dyDescent="0.25">
      <c r="C55" s="28">
        <f>IF(AND(C54&lt;0,D54&gt;0),C50+0.5,0)</f>
        <v>0</v>
      </c>
      <c r="D55" s="28">
        <f t="shared" ref="D55:W55" si="19">IF(AND(D54&lt;0,E54&gt;0),D50+0.5,0)</f>
        <v>0</v>
      </c>
      <c r="E55" s="28">
        <f t="shared" si="19"/>
        <v>0</v>
      </c>
      <c r="F55" s="28">
        <f t="shared" si="19"/>
        <v>0</v>
      </c>
      <c r="G55" s="28">
        <f t="shared" si="19"/>
        <v>0</v>
      </c>
      <c r="H55" s="28">
        <f t="shared" si="19"/>
        <v>0</v>
      </c>
      <c r="I55" s="28">
        <f t="shared" si="19"/>
        <v>0</v>
      </c>
      <c r="J55" s="28">
        <f t="shared" si="19"/>
        <v>0</v>
      </c>
      <c r="K55" s="28">
        <f t="shared" si="19"/>
        <v>0</v>
      </c>
      <c r="L55" s="28">
        <f t="shared" si="19"/>
        <v>0</v>
      </c>
      <c r="M55" s="28">
        <f t="shared" si="19"/>
        <v>0</v>
      </c>
      <c r="N55" s="28">
        <f t="shared" si="19"/>
        <v>0</v>
      </c>
      <c r="O55" s="28">
        <f t="shared" si="19"/>
        <v>0</v>
      </c>
      <c r="P55" s="28">
        <f t="shared" si="19"/>
        <v>0</v>
      </c>
      <c r="Q55" s="28">
        <f t="shared" si="19"/>
        <v>0</v>
      </c>
      <c r="R55" s="28">
        <f t="shared" si="19"/>
        <v>0</v>
      </c>
      <c r="S55" s="28">
        <f t="shared" si="19"/>
        <v>0</v>
      </c>
      <c r="T55" s="28">
        <f t="shared" si="19"/>
        <v>0</v>
      </c>
      <c r="U55" s="28">
        <f t="shared" si="19"/>
        <v>0</v>
      </c>
      <c r="V55" s="28">
        <f t="shared" si="19"/>
        <v>0</v>
      </c>
      <c r="W55" s="28">
        <f t="shared" si="19"/>
        <v>0</v>
      </c>
    </row>
    <row r="56" spans="2:23" x14ac:dyDescent="0.25">
      <c r="B56" s="54" t="s">
        <v>127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</row>
    <row r="58" spans="2:23" x14ac:dyDescent="0.25">
      <c r="B58" s="27" t="s">
        <v>47</v>
      </c>
      <c r="C58" s="52">
        <f>SUM(C55:W55)</f>
        <v>0</v>
      </c>
    </row>
    <row r="59" spans="2:23" x14ac:dyDescent="0.25">
      <c r="B59" s="27" t="s">
        <v>48</v>
      </c>
      <c r="C59" s="59" t="e">
        <f>IRR(C53:W53)</f>
        <v>#NUM!</v>
      </c>
    </row>
    <row r="60" spans="2:23" x14ac:dyDescent="0.25">
      <c r="B60" s="27"/>
    </row>
    <row r="61" spans="2:23" x14ac:dyDescent="0.25">
      <c r="B61" s="27" t="s">
        <v>51</v>
      </c>
      <c r="C61" s="43">
        <v>0</v>
      </c>
      <c r="D61" s="29" t="s">
        <v>52</v>
      </c>
    </row>
    <row r="62" spans="2:23" x14ac:dyDescent="0.25">
      <c r="B62" s="27" t="s">
        <v>130</v>
      </c>
      <c r="C62" s="45">
        <f>SUM(D53:W53)/20/D9</f>
        <v>40.778499099934315</v>
      </c>
      <c r="D62" s="29" t="s">
        <v>54</v>
      </c>
    </row>
    <row r="63" spans="2:23" x14ac:dyDescent="0.25">
      <c r="B63" s="27" t="s">
        <v>128</v>
      </c>
      <c r="C63" s="43">
        <f>SUM(D53:W53)/D9</f>
        <v>815.56998199868633</v>
      </c>
      <c r="D63" s="29" t="s">
        <v>52</v>
      </c>
    </row>
    <row r="64" spans="2:23" x14ac:dyDescent="0.25">
      <c r="B64" s="27" t="s">
        <v>129</v>
      </c>
      <c r="C64" s="83">
        <f>W54/D9</f>
        <v>815.56998199868633</v>
      </c>
      <c r="D64" s="29" t="s">
        <v>52</v>
      </c>
    </row>
    <row r="65" spans="2:23" x14ac:dyDescent="0.25">
      <c r="B65" s="27"/>
    </row>
    <row r="66" spans="2:23" x14ac:dyDescent="0.25">
      <c r="B66" s="27"/>
    </row>
    <row r="67" spans="2:23" x14ac:dyDescent="0.25">
      <c r="B67" s="27"/>
    </row>
    <row r="68" spans="2:23" x14ac:dyDescent="0.25">
      <c r="B68" s="27"/>
    </row>
    <row r="69" spans="2:23" x14ac:dyDescent="0.25">
      <c r="B69" s="27"/>
    </row>
    <row r="70" spans="2:23" x14ac:dyDescent="0.25">
      <c r="B70" s="27"/>
    </row>
    <row r="71" spans="2:23" x14ac:dyDescent="0.25">
      <c r="B71" s="27"/>
    </row>
    <row r="72" spans="2:23" x14ac:dyDescent="0.25">
      <c r="B72" s="27"/>
    </row>
    <row r="74" spans="2:23" x14ac:dyDescent="0.25">
      <c r="B74" s="27" t="s">
        <v>136</v>
      </c>
    </row>
    <row r="76" spans="2:23" x14ac:dyDescent="0.25">
      <c r="B76" s="56" t="s">
        <v>28</v>
      </c>
      <c r="C76" s="57">
        <v>0</v>
      </c>
      <c r="D76" s="57">
        <v>1</v>
      </c>
      <c r="E76" s="57">
        <v>2</v>
      </c>
      <c r="F76" s="57">
        <v>3</v>
      </c>
      <c r="G76" s="57">
        <v>4</v>
      </c>
      <c r="H76" s="57">
        <v>5</v>
      </c>
      <c r="I76" s="57">
        <v>6</v>
      </c>
      <c r="J76" s="57">
        <v>7</v>
      </c>
      <c r="K76" s="57">
        <v>8</v>
      </c>
      <c r="L76" s="57">
        <v>9</v>
      </c>
      <c r="M76" s="57">
        <v>10</v>
      </c>
      <c r="N76" s="57">
        <v>11</v>
      </c>
      <c r="O76" s="57">
        <v>12</v>
      </c>
      <c r="P76" s="57">
        <v>13</v>
      </c>
      <c r="Q76" s="57">
        <v>14</v>
      </c>
      <c r="R76" s="57">
        <v>15</v>
      </c>
      <c r="S76" s="57">
        <v>16</v>
      </c>
      <c r="T76" s="57">
        <v>17</v>
      </c>
      <c r="U76" s="57">
        <v>18</v>
      </c>
      <c r="V76" s="57">
        <v>19</v>
      </c>
      <c r="W76" s="57">
        <v>20</v>
      </c>
    </row>
    <row r="77" spans="2:23" x14ac:dyDescent="0.25">
      <c r="B77" s="46" t="s">
        <v>29</v>
      </c>
      <c r="C77" s="47"/>
      <c r="D77" s="48">
        <f>D78+D79+D80</f>
        <v>32687.62</v>
      </c>
      <c r="E77" s="48">
        <f t="shared" ref="E77:W77" si="20">E78+E79+E80</f>
        <v>32595.46</v>
      </c>
      <c r="F77" s="48">
        <f t="shared" si="20"/>
        <v>32503.66864</v>
      </c>
      <c r="G77" s="48">
        <f t="shared" si="20"/>
        <v>32412.244445439999</v>
      </c>
      <c r="H77" s="48">
        <f t="shared" si="20"/>
        <v>32321.185947658239</v>
      </c>
      <c r="I77" s="48">
        <f t="shared" si="20"/>
        <v>32230.491683867607</v>
      </c>
      <c r="J77" s="48">
        <f t="shared" si="20"/>
        <v>32140.16019713214</v>
      </c>
      <c r="K77" s="48">
        <f t="shared" si="20"/>
        <v>32050.190036343611</v>
      </c>
      <c r="L77" s="48">
        <f t="shared" si="20"/>
        <v>31960.579756198236</v>
      </c>
      <c r="M77" s="48">
        <f t="shared" si="20"/>
        <v>31871.327917173443</v>
      </c>
      <c r="N77" s="48">
        <f t="shared" si="20"/>
        <v>28614.813085504749</v>
      </c>
      <c r="O77" s="48">
        <f t="shared" si="20"/>
        <v>28526.27383316273</v>
      </c>
      <c r="P77" s="48">
        <f t="shared" si="20"/>
        <v>28438.088737830079</v>
      </c>
      <c r="Q77" s="48">
        <f t="shared" si="20"/>
        <v>28350.256382878761</v>
      </c>
      <c r="R77" s="48">
        <f t="shared" si="20"/>
        <v>28262.775357347244</v>
      </c>
      <c r="S77" s="48">
        <f t="shared" si="20"/>
        <v>28175.644255917854</v>
      </c>
      <c r="T77" s="48">
        <f t="shared" si="20"/>
        <v>28088.861678894184</v>
      </c>
      <c r="U77" s="48">
        <f t="shared" si="20"/>
        <v>28002.426232178608</v>
      </c>
      <c r="V77" s="48">
        <f t="shared" si="20"/>
        <v>27916.336527249892</v>
      </c>
      <c r="W77" s="48">
        <f t="shared" si="20"/>
        <v>27830.591181140891</v>
      </c>
    </row>
    <row r="78" spans="2:23" x14ac:dyDescent="0.25">
      <c r="B78" s="32" t="s">
        <v>30</v>
      </c>
      <c r="D78" s="35">
        <f t="shared" ref="D78:W78" si="21">D31*$D$16</f>
        <v>23040</v>
      </c>
      <c r="E78" s="35">
        <f t="shared" si="21"/>
        <v>22947.84</v>
      </c>
      <c r="F78" s="35">
        <f t="shared" si="21"/>
        <v>22856.048640000001</v>
      </c>
      <c r="G78" s="35">
        <f t="shared" si="21"/>
        <v>22764.62444544</v>
      </c>
      <c r="H78" s="35">
        <f t="shared" si="21"/>
        <v>22673.56594765824</v>
      </c>
      <c r="I78" s="35">
        <f t="shared" si="21"/>
        <v>22582.871683867608</v>
      </c>
      <c r="J78" s="35">
        <f t="shared" si="21"/>
        <v>22492.540197132141</v>
      </c>
      <c r="K78" s="35">
        <f t="shared" si="21"/>
        <v>22402.570036343612</v>
      </c>
      <c r="L78" s="35">
        <f t="shared" si="21"/>
        <v>22312.959756198237</v>
      </c>
      <c r="M78" s="35">
        <f t="shared" si="21"/>
        <v>22223.707917173444</v>
      </c>
      <c r="N78" s="35">
        <f t="shared" si="21"/>
        <v>22134.813085504749</v>
      </c>
      <c r="O78" s="35">
        <f t="shared" si="21"/>
        <v>22046.27383316273</v>
      </c>
      <c r="P78" s="35">
        <f t="shared" si="21"/>
        <v>21958.088737830079</v>
      </c>
      <c r="Q78" s="35">
        <f t="shared" si="21"/>
        <v>21870.256382878761</v>
      </c>
      <c r="R78" s="35">
        <f t="shared" si="21"/>
        <v>21782.775357347244</v>
      </c>
      <c r="S78" s="35">
        <f t="shared" si="21"/>
        <v>21695.644255917854</v>
      </c>
      <c r="T78" s="35">
        <f t="shared" si="21"/>
        <v>21608.861678894184</v>
      </c>
      <c r="U78" s="35">
        <f t="shared" si="21"/>
        <v>21522.426232178608</v>
      </c>
      <c r="V78" s="35">
        <f t="shared" si="21"/>
        <v>21436.336527249892</v>
      </c>
      <c r="W78" s="35">
        <f t="shared" si="21"/>
        <v>21350.591181140891</v>
      </c>
    </row>
    <row r="79" spans="2:23" x14ac:dyDescent="0.25">
      <c r="B79" s="32" t="s">
        <v>56</v>
      </c>
      <c r="D79" s="35">
        <f t="shared" ref="D79:W79" si="22">IF(D$76&lt;=$D$23,$D$22*$D$7,0)</f>
        <v>3167.6200000000003</v>
      </c>
      <c r="E79" s="35">
        <f t="shared" si="22"/>
        <v>3167.6200000000003</v>
      </c>
      <c r="F79" s="35">
        <f t="shared" si="22"/>
        <v>3167.6200000000003</v>
      </c>
      <c r="G79" s="35">
        <f t="shared" si="22"/>
        <v>3167.6200000000003</v>
      </c>
      <c r="H79" s="35">
        <f t="shared" si="22"/>
        <v>3167.6200000000003</v>
      </c>
      <c r="I79" s="35">
        <f t="shared" si="22"/>
        <v>3167.6200000000003</v>
      </c>
      <c r="J79" s="35">
        <f t="shared" si="22"/>
        <v>3167.6200000000003</v>
      </c>
      <c r="K79" s="35">
        <f t="shared" si="22"/>
        <v>3167.6200000000003</v>
      </c>
      <c r="L79" s="35">
        <f t="shared" si="22"/>
        <v>3167.6200000000003</v>
      </c>
      <c r="M79" s="35">
        <f t="shared" si="22"/>
        <v>3167.6200000000003</v>
      </c>
      <c r="N79" s="35">
        <f t="shared" si="22"/>
        <v>0</v>
      </c>
      <c r="O79" s="35">
        <f t="shared" si="22"/>
        <v>0</v>
      </c>
      <c r="P79" s="35">
        <f t="shared" si="22"/>
        <v>0</v>
      </c>
      <c r="Q79" s="35">
        <f t="shared" si="22"/>
        <v>0</v>
      </c>
      <c r="R79" s="35">
        <f t="shared" si="22"/>
        <v>0</v>
      </c>
      <c r="S79" s="35">
        <f t="shared" si="22"/>
        <v>0</v>
      </c>
      <c r="T79" s="35">
        <f t="shared" si="22"/>
        <v>0</v>
      </c>
      <c r="U79" s="35">
        <f t="shared" si="22"/>
        <v>0</v>
      </c>
      <c r="V79" s="35">
        <f t="shared" si="22"/>
        <v>0</v>
      </c>
      <c r="W79" s="35">
        <f t="shared" si="22"/>
        <v>0</v>
      </c>
    </row>
    <row r="80" spans="2:23" x14ac:dyDescent="0.25">
      <c r="B80" s="32" t="s">
        <v>65</v>
      </c>
      <c r="D80" s="35">
        <f>-D82</f>
        <v>6480</v>
      </c>
      <c r="E80" s="35">
        <f t="shared" ref="E80:W80" si="23">-E82</f>
        <v>6480</v>
      </c>
      <c r="F80" s="35">
        <f t="shared" si="23"/>
        <v>6480</v>
      </c>
      <c r="G80" s="35">
        <f t="shared" si="23"/>
        <v>6480</v>
      </c>
      <c r="H80" s="35">
        <f t="shared" si="23"/>
        <v>6480</v>
      </c>
      <c r="I80" s="35">
        <f t="shared" si="23"/>
        <v>6480</v>
      </c>
      <c r="J80" s="35">
        <f t="shared" si="23"/>
        <v>6480</v>
      </c>
      <c r="K80" s="35">
        <f t="shared" si="23"/>
        <v>6480</v>
      </c>
      <c r="L80" s="35">
        <f t="shared" si="23"/>
        <v>6480</v>
      </c>
      <c r="M80" s="35">
        <f t="shared" si="23"/>
        <v>6480</v>
      </c>
      <c r="N80" s="35">
        <f t="shared" si="23"/>
        <v>6480</v>
      </c>
      <c r="O80" s="35">
        <f t="shared" si="23"/>
        <v>6480</v>
      </c>
      <c r="P80" s="35">
        <f t="shared" si="23"/>
        <v>6480</v>
      </c>
      <c r="Q80" s="35">
        <f t="shared" si="23"/>
        <v>6480</v>
      </c>
      <c r="R80" s="35">
        <f t="shared" si="23"/>
        <v>6480</v>
      </c>
      <c r="S80" s="35">
        <f t="shared" si="23"/>
        <v>6480</v>
      </c>
      <c r="T80" s="35">
        <f t="shared" si="23"/>
        <v>6480</v>
      </c>
      <c r="U80" s="35">
        <f t="shared" si="23"/>
        <v>6480</v>
      </c>
      <c r="V80" s="35">
        <f t="shared" si="23"/>
        <v>6480</v>
      </c>
      <c r="W80" s="35">
        <f t="shared" si="23"/>
        <v>6480</v>
      </c>
    </row>
    <row r="81" spans="2:23" x14ac:dyDescent="0.25">
      <c r="B81" s="46" t="s">
        <v>33</v>
      </c>
      <c r="C81" s="47"/>
      <c r="D81" s="48">
        <f t="shared" ref="D81:W81" si="24">D82</f>
        <v>-6480</v>
      </c>
      <c r="E81" s="48">
        <f t="shared" si="24"/>
        <v>-6480</v>
      </c>
      <c r="F81" s="48">
        <f t="shared" si="24"/>
        <v>-6480</v>
      </c>
      <c r="G81" s="48">
        <f t="shared" si="24"/>
        <v>-6480</v>
      </c>
      <c r="H81" s="48">
        <f t="shared" si="24"/>
        <v>-6480</v>
      </c>
      <c r="I81" s="48">
        <f t="shared" si="24"/>
        <v>-6480</v>
      </c>
      <c r="J81" s="48">
        <f t="shared" si="24"/>
        <v>-6480</v>
      </c>
      <c r="K81" s="48">
        <f t="shared" si="24"/>
        <v>-6480</v>
      </c>
      <c r="L81" s="48">
        <f t="shared" si="24"/>
        <v>-6480</v>
      </c>
      <c r="M81" s="48">
        <f t="shared" si="24"/>
        <v>-6480</v>
      </c>
      <c r="N81" s="48">
        <f t="shared" si="24"/>
        <v>-6480</v>
      </c>
      <c r="O81" s="48">
        <f t="shared" si="24"/>
        <v>-6480</v>
      </c>
      <c r="P81" s="48">
        <f t="shared" si="24"/>
        <v>-6480</v>
      </c>
      <c r="Q81" s="48">
        <f t="shared" si="24"/>
        <v>-6480</v>
      </c>
      <c r="R81" s="48">
        <f t="shared" si="24"/>
        <v>-6480</v>
      </c>
      <c r="S81" s="48">
        <f t="shared" si="24"/>
        <v>-6480</v>
      </c>
      <c r="T81" s="48">
        <f t="shared" si="24"/>
        <v>-6480</v>
      </c>
      <c r="U81" s="48">
        <f t="shared" si="24"/>
        <v>-6480</v>
      </c>
      <c r="V81" s="48">
        <f t="shared" si="24"/>
        <v>-6480</v>
      </c>
      <c r="W81" s="48">
        <f t="shared" si="24"/>
        <v>-6480</v>
      </c>
    </row>
    <row r="82" spans="2:23" x14ac:dyDescent="0.25">
      <c r="B82" s="32" t="s">
        <v>18</v>
      </c>
      <c r="D82" s="35">
        <f>-$D$24*$D$7*$D$21</f>
        <v>-6480</v>
      </c>
      <c r="E82" s="35">
        <f t="shared" ref="E82:W82" si="25">-$D$24*$D$7*$D$21</f>
        <v>-6480</v>
      </c>
      <c r="F82" s="35">
        <f t="shared" si="25"/>
        <v>-6480</v>
      </c>
      <c r="G82" s="35">
        <f t="shared" si="25"/>
        <v>-6480</v>
      </c>
      <c r="H82" s="35">
        <f t="shared" si="25"/>
        <v>-6480</v>
      </c>
      <c r="I82" s="35">
        <f t="shared" si="25"/>
        <v>-6480</v>
      </c>
      <c r="J82" s="35">
        <f t="shared" si="25"/>
        <v>-6480</v>
      </c>
      <c r="K82" s="35">
        <f t="shared" si="25"/>
        <v>-6480</v>
      </c>
      <c r="L82" s="35">
        <f t="shared" si="25"/>
        <v>-6480</v>
      </c>
      <c r="M82" s="35">
        <f t="shared" si="25"/>
        <v>-6480</v>
      </c>
      <c r="N82" s="35">
        <f t="shared" si="25"/>
        <v>-6480</v>
      </c>
      <c r="O82" s="35">
        <f t="shared" si="25"/>
        <v>-6480</v>
      </c>
      <c r="P82" s="35">
        <f t="shared" si="25"/>
        <v>-6480</v>
      </c>
      <c r="Q82" s="35">
        <f t="shared" si="25"/>
        <v>-6480</v>
      </c>
      <c r="R82" s="35">
        <f t="shared" si="25"/>
        <v>-6480</v>
      </c>
      <c r="S82" s="35">
        <f t="shared" si="25"/>
        <v>-6480</v>
      </c>
      <c r="T82" s="35">
        <f t="shared" si="25"/>
        <v>-6480</v>
      </c>
      <c r="U82" s="35">
        <f t="shared" si="25"/>
        <v>-6480</v>
      </c>
      <c r="V82" s="35">
        <f t="shared" si="25"/>
        <v>-6480</v>
      </c>
      <c r="W82" s="35">
        <f t="shared" si="25"/>
        <v>-6480</v>
      </c>
    </row>
    <row r="83" spans="2:23" x14ac:dyDescent="0.25">
      <c r="B83" s="49" t="s">
        <v>36</v>
      </c>
      <c r="C83" s="50"/>
      <c r="D83" s="51">
        <f>D77+D81</f>
        <v>26207.62</v>
      </c>
      <c r="E83" s="51">
        <f t="shared" ref="E83:W83" si="26">E77+E81</f>
        <v>26115.46</v>
      </c>
      <c r="F83" s="51">
        <f t="shared" si="26"/>
        <v>26023.66864</v>
      </c>
      <c r="G83" s="51">
        <f t="shared" si="26"/>
        <v>25932.244445439999</v>
      </c>
      <c r="H83" s="51">
        <f t="shared" si="26"/>
        <v>25841.185947658239</v>
      </c>
      <c r="I83" s="51">
        <f t="shared" si="26"/>
        <v>25750.491683867607</v>
      </c>
      <c r="J83" s="51">
        <f t="shared" si="26"/>
        <v>25660.16019713214</v>
      </c>
      <c r="K83" s="51">
        <f t="shared" si="26"/>
        <v>25570.190036343611</v>
      </c>
      <c r="L83" s="51">
        <f t="shared" si="26"/>
        <v>25480.579756198236</v>
      </c>
      <c r="M83" s="51">
        <f t="shared" si="26"/>
        <v>25391.327917173443</v>
      </c>
      <c r="N83" s="51">
        <f t="shared" si="26"/>
        <v>22134.813085504749</v>
      </c>
      <c r="O83" s="51">
        <f t="shared" si="26"/>
        <v>22046.27383316273</v>
      </c>
      <c r="P83" s="51">
        <f t="shared" si="26"/>
        <v>21958.088737830079</v>
      </c>
      <c r="Q83" s="51">
        <f t="shared" si="26"/>
        <v>21870.256382878761</v>
      </c>
      <c r="R83" s="51">
        <f t="shared" si="26"/>
        <v>21782.775357347244</v>
      </c>
      <c r="S83" s="51">
        <f t="shared" si="26"/>
        <v>21695.644255917854</v>
      </c>
      <c r="T83" s="51">
        <f t="shared" si="26"/>
        <v>21608.861678894184</v>
      </c>
      <c r="U83" s="51">
        <f t="shared" si="26"/>
        <v>21522.426232178608</v>
      </c>
      <c r="V83" s="51">
        <f t="shared" si="26"/>
        <v>21436.336527249892</v>
      </c>
      <c r="W83" s="51">
        <f t="shared" si="26"/>
        <v>21350.591181140891</v>
      </c>
    </row>
    <row r="84" spans="2:23" x14ac:dyDescent="0.25">
      <c r="B84" s="32" t="s">
        <v>37</v>
      </c>
      <c r="D84" s="35">
        <f>-$E$21/$D$12</f>
        <v>-10800</v>
      </c>
      <c r="E84" s="35">
        <f t="shared" ref="E84:W84" si="27">-$E$21/$D$12</f>
        <v>-10800</v>
      </c>
      <c r="F84" s="35">
        <f t="shared" si="27"/>
        <v>-10800</v>
      </c>
      <c r="G84" s="35">
        <f t="shared" si="27"/>
        <v>-10800</v>
      </c>
      <c r="H84" s="35">
        <f t="shared" si="27"/>
        <v>-10800</v>
      </c>
      <c r="I84" s="35">
        <f t="shared" si="27"/>
        <v>-10800</v>
      </c>
      <c r="J84" s="35">
        <f t="shared" si="27"/>
        <v>-10800</v>
      </c>
      <c r="K84" s="35">
        <f t="shared" si="27"/>
        <v>-10800</v>
      </c>
      <c r="L84" s="35">
        <f t="shared" si="27"/>
        <v>-10800</v>
      </c>
      <c r="M84" s="35">
        <f t="shared" si="27"/>
        <v>-10800</v>
      </c>
      <c r="N84" s="35">
        <f t="shared" si="27"/>
        <v>-10800</v>
      </c>
      <c r="O84" s="35">
        <f t="shared" si="27"/>
        <v>-10800</v>
      </c>
      <c r="P84" s="35">
        <f t="shared" si="27"/>
        <v>-10800</v>
      </c>
      <c r="Q84" s="35">
        <f t="shared" si="27"/>
        <v>-10800</v>
      </c>
      <c r="R84" s="35">
        <f t="shared" si="27"/>
        <v>-10800</v>
      </c>
      <c r="S84" s="35">
        <f t="shared" si="27"/>
        <v>-10800</v>
      </c>
      <c r="T84" s="35">
        <f t="shared" si="27"/>
        <v>-10800</v>
      </c>
      <c r="U84" s="35">
        <f t="shared" si="27"/>
        <v>-10800</v>
      </c>
      <c r="V84" s="35">
        <f t="shared" si="27"/>
        <v>-10800</v>
      </c>
      <c r="W84" s="35">
        <f t="shared" si="27"/>
        <v>-10800</v>
      </c>
    </row>
    <row r="85" spans="2:23" x14ac:dyDescent="0.25">
      <c r="B85" s="49" t="s">
        <v>40</v>
      </c>
      <c r="C85" s="50"/>
      <c r="D85" s="51">
        <f>D83+D110</f>
        <v>26207.62</v>
      </c>
      <c r="E85" s="51">
        <f t="shared" ref="E85:W85" si="28">E83+E84</f>
        <v>15315.46</v>
      </c>
      <c r="F85" s="51">
        <f t="shared" si="28"/>
        <v>15223.66864</v>
      </c>
      <c r="G85" s="51">
        <f t="shared" si="28"/>
        <v>15132.244445439999</v>
      </c>
      <c r="H85" s="51">
        <f t="shared" si="28"/>
        <v>15041.185947658239</v>
      </c>
      <c r="I85" s="51">
        <f t="shared" si="28"/>
        <v>14950.491683867607</v>
      </c>
      <c r="J85" s="51">
        <f t="shared" si="28"/>
        <v>14860.16019713214</v>
      </c>
      <c r="K85" s="51">
        <f t="shared" si="28"/>
        <v>14770.190036343611</v>
      </c>
      <c r="L85" s="51">
        <f t="shared" si="28"/>
        <v>14680.579756198236</v>
      </c>
      <c r="M85" s="51">
        <f t="shared" si="28"/>
        <v>14591.327917173443</v>
      </c>
      <c r="N85" s="51">
        <f t="shared" si="28"/>
        <v>11334.813085504749</v>
      </c>
      <c r="O85" s="51">
        <f t="shared" si="28"/>
        <v>11246.27383316273</v>
      </c>
      <c r="P85" s="51">
        <f t="shared" si="28"/>
        <v>11158.088737830079</v>
      </c>
      <c r="Q85" s="51">
        <f t="shared" si="28"/>
        <v>11070.256382878761</v>
      </c>
      <c r="R85" s="51">
        <f t="shared" si="28"/>
        <v>10982.775357347244</v>
      </c>
      <c r="S85" s="51">
        <f t="shared" si="28"/>
        <v>10895.644255917854</v>
      </c>
      <c r="T85" s="51">
        <f t="shared" si="28"/>
        <v>10808.861678894184</v>
      </c>
      <c r="U85" s="51">
        <f t="shared" si="28"/>
        <v>10722.426232178608</v>
      </c>
      <c r="V85" s="51">
        <f t="shared" si="28"/>
        <v>10636.336527249892</v>
      </c>
      <c r="W85" s="51">
        <f t="shared" si="28"/>
        <v>10550.591181140891</v>
      </c>
    </row>
    <row r="86" spans="2:23" x14ac:dyDescent="0.25">
      <c r="B86" s="32" t="s">
        <v>41</v>
      </c>
      <c r="D86" s="35">
        <f>-D85*$D$25</f>
        <v>-7338.1336000000001</v>
      </c>
      <c r="E86" s="35">
        <f t="shared" ref="E86:W86" si="29">-E85*$D$25</f>
        <v>-4288.3288000000002</v>
      </c>
      <c r="F86" s="35">
        <f t="shared" si="29"/>
        <v>-4262.6272192000006</v>
      </c>
      <c r="G86" s="35">
        <f t="shared" si="29"/>
        <v>-4237.0284447231998</v>
      </c>
      <c r="H86" s="35">
        <f t="shared" si="29"/>
        <v>-4211.5320653443077</v>
      </c>
      <c r="I86" s="35">
        <f t="shared" si="29"/>
        <v>-4186.1376714829303</v>
      </c>
      <c r="J86" s="35">
        <f t="shared" si="29"/>
        <v>-4160.8448551969996</v>
      </c>
      <c r="K86" s="35">
        <f t="shared" si="29"/>
        <v>-4135.6532101762114</v>
      </c>
      <c r="L86" s="35">
        <f t="shared" si="29"/>
        <v>-4110.5623317355066</v>
      </c>
      <c r="M86" s="35">
        <f t="shared" si="29"/>
        <v>-4085.5718168085646</v>
      </c>
      <c r="N86" s="35">
        <f t="shared" si="29"/>
        <v>-3173.7476639413303</v>
      </c>
      <c r="O86" s="35">
        <f t="shared" si="29"/>
        <v>-3148.9566732855646</v>
      </c>
      <c r="P86" s="35">
        <f t="shared" si="29"/>
        <v>-3124.2648465924226</v>
      </c>
      <c r="Q86" s="35">
        <f t="shared" si="29"/>
        <v>-3099.6717872060531</v>
      </c>
      <c r="R86" s="35">
        <f t="shared" si="29"/>
        <v>-3075.1771000572285</v>
      </c>
      <c r="S86" s="35">
        <f t="shared" si="29"/>
        <v>-3050.7803916569992</v>
      </c>
      <c r="T86" s="35">
        <f t="shared" si="29"/>
        <v>-3026.4812700903717</v>
      </c>
      <c r="U86" s="35">
        <f t="shared" si="29"/>
        <v>-3002.2793450100107</v>
      </c>
      <c r="V86" s="35">
        <f t="shared" si="29"/>
        <v>-2978.1742276299701</v>
      </c>
      <c r="W86" s="35">
        <f t="shared" si="29"/>
        <v>-2954.1655307194501</v>
      </c>
    </row>
    <row r="87" spans="2:23" x14ac:dyDescent="0.25">
      <c r="B87" s="49" t="s">
        <v>43</v>
      </c>
      <c r="C87" s="50"/>
      <c r="D87" s="51">
        <f>D85+D86</f>
        <v>18869.486399999998</v>
      </c>
      <c r="E87" s="51">
        <f t="shared" ref="E87:W87" si="30">E85+E86</f>
        <v>11027.1312</v>
      </c>
      <c r="F87" s="51">
        <f t="shared" si="30"/>
        <v>10961.0414208</v>
      </c>
      <c r="G87" s="51">
        <f t="shared" si="30"/>
        <v>10895.216000716799</v>
      </c>
      <c r="H87" s="51">
        <f t="shared" si="30"/>
        <v>10829.653882313931</v>
      </c>
      <c r="I87" s="51">
        <f t="shared" si="30"/>
        <v>10764.354012384676</v>
      </c>
      <c r="J87" s="51">
        <f t="shared" si="30"/>
        <v>10699.31534193514</v>
      </c>
      <c r="K87" s="51">
        <f t="shared" si="30"/>
        <v>10634.536826167399</v>
      </c>
      <c r="L87" s="51">
        <f t="shared" si="30"/>
        <v>10570.017424462731</v>
      </c>
      <c r="M87" s="51">
        <f t="shared" si="30"/>
        <v>10505.756100364879</v>
      </c>
      <c r="N87" s="51">
        <f t="shared" si="30"/>
        <v>8161.0654215634186</v>
      </c>
      <c r="O87" s="51">
        <f t="shared" si="30"/>
        <v>8097.3171598771651</v>
      </c>
      <c r="P87" s="51">
        <f t="shared" si="30"/>
        <v>8033.8238912376564</v>
      </c>
      <c r="Q87" s="51">
        <f t="shared" si="30"/>
        <v>7970.584595672708</v>
      </c>
      <c r="R87" s="51">
        <f t="shared" si="30"/>
        <v>7907.5982572900157</v>
      </c>
      <c r="S87" s="51">
        <f t="shared" si="30"/>
        <v>7844.8638642608548</v>
      </c>
      <c r="T87" s="51">
        <f t="shared" si="30"/>
        <v>7782.3804088038123</v>
      </c>
      <c r="U87" s="51">
        <f t="shared" si="30"/>
        <v>7720.1468871685975</v>
      </c>
      <c r="V87" s="51">
        <f t="shared" si="30"/>
        <v>7658.1622996199221</v>
      </c>
      <c r="W87" s="51">
        <f t="shared" si="30"/>
        <v>7596.4256504214409</v>
      </c>
    </row>
    <row r="88" spans="2:23" ht="12" x14ac:dyDescent="0.3">
      <c r="D88" s="58">
        <f>D87/D77</f>
        <v>0.57726706318783683</v>
      </c>
      <c r="E88" s="58">
        <f t="shared" ref="E88:W88" si="31">E87/E77</f>
        <v>0.33830267159905092</v>
      </c>
      <c r="F88" s="58">
        <f t="shared" si="31"/>
        <v>0.33722474660324991</v>
      </c>
      <c r="G88" s="58">
        <f t="shared" si="31"/>
        <v>0.33614506453130311</v>
      </c>
      <c r="H88" s="58">
        <f t="shared" si="31"/>
        <v>0.33506362977682042</v>
      </c>
      <c r="I88" s="58">
        <f t="shared" si="31"/>
        <v>0.33398044677588895</v>
      </c>
      <c r="J88" s="58">
        <f t="shared" si="31"/>
        <v>0.33289552000707945</v>
      </c>
      <c r="K88" s="58">
        <f t="shared" si="31"/>
        <v>0.33180885399145116</v>
      </c>
      <c r="L88" s="58">
        <f t="shared" si="31"/>
        <v>0.33072045329255478</v>
      </c>
      <c r="M88" s="58">
        <f t="shared" si="31"/>
        <v>0.32963032251643304</v>
      </c>
      <c r="N88" s="58">
        <f t="shared" si="31"/>
        <v>0.28520421912864163</v>
      </c>
      <c r="O88" s="58">
        <f t="shared" si="31"/>
        <v>0.28385470907398247</v>
      </c>
      <c r="P88" s="58">
        <f t="shared" si="31"/>
        <v>0.28250224427180204</v>
      </c>
      <c r="Q88" s="58">
        <f t="shared" si="31"/>
        <v>0.28114682590617734</v>
      </c>
      <c r="R88" s="58">
        <f t="shared" si="31"/>
        <v>0.27978845521391238</v>
      </c>
      <c r="S88" s="58">
        <f t="shared" si="31"/>
        <v>0.27842713348473525</v>
      </c>
      <c r="T88" s="58">
        <f t="shared" si="31"/>
        <v>0.27706286206149289</v>
      </c>
      <c r="U88" s="58">
        <f t="shared" si="31"/>
        <v>0.2756956423403446</v>
      </c>
      <c r="V88" s="58">
        <f t="shared" si="31"/>
        <v>0.27432547577095523</v>
      </c>
      <c r="W88" s="58">
        <f t="shared" si="31"/>
        <v>0.27295236385668586</v>
      </c>
    </row>
    <row r="90" spans="2:23" x14ac:dyDescent="0.25">
      <c r="B90" s="56" t="s">
        <v>46</v>
      </c>
      <c r="C90" s="57">
        <v>0</v>
      </c>
      <c r="D90" s="57">
        <v>1</v>
      </c>
      <c r="E90" s="57">
        <v>2</v>
      </c>
      <c r="F90" s="57">
        <v>3</v>
      </c>
      <c r="G90" s="57">
        <v>4</v>
      </c>
      <c r="H90" s="57">
        <v>5</v>
      </c>
      <c r="I90" s="57">
        <v>6</v>
      </c>
      <c r="J90" s="57">
        <v>7</v>
      </c>
      <c r="K90" s="57">
        <v>8</v>
      </c>
      <c r="L90" s="57">
        <v>9</v>
      </c>
      <c r="M90" s="57">
        <v>10</v>
      </c>
      <c r="N90" s="57">
        <v>11</v>
      </c>
      <c r="O90" s="57">
        <v>12</v>
      </c>
      <c r="P90" s="57">
        <v>13</v>
      </c>
      <c r="Q90" s="57">
        <v>14</v>
      </c>
      <c r="R90" s="57">
        <v>15</v>
      </c>
      <c r="S90" s="57">
        <v>16</v>
      </c>
      <c r="T90" s="57">
        <v>17</v>
      </c>
      <c r="U90" s="57">
        <v>18</v>
      </c>
      <c r="V90" s="57">
        <v>19</v>
      </c>
      <c r="W90" s="57">
        <v>20</v>
      </c>
    </row>
    <row r="91" spans="2:23" x14ac:dyDescent="0.25">
      <c r="B91" s="32" t="s">
        <v>36</v>
      </c>
      <c r="D91" s="35">
        <f t="shared" ref="D91:W91" si="32">D83</f>
        <v>26207.62</v>
      </c>
      <c r="E91" s="35">
        <f t="shared" si="32"/>
        <v>26115.46</v>
      </c>
      <c r="F91" s="35">
        <f t="shared" si="32"/>
        <v>26023.66864</v>
      </c>
      <c r="G91" s="35">
        <f t="shared" si="32"/>
        <v>25932.244445439999</v>
      </c>
      <c r="H91" s="35">
        <f t="shared" si="32"/>
        <v>25841.185947658239</v>
      </c>
      <c r="I91" s="35">
        <f t="shared" si="32"/>
        <v>25750.491683867607</v>
      </c>
      <c r="J91" s="35">
        <f t="shared" si="32"/>
        <v>25660.16019713214</v>
      </c>
      <c r="K91" s="35">
        <f t="shared" si="32"/>
        <v>25570.190036343611</v>
      </c>
      <c r="L91" s="35">
        <f t="shared" si="32"/>
        <v>25480.579756198236</v>
      </c>
      <c r="M91" s="35">
        <f t="shared" si="32"/>
        <v>25391.327917173443</v>
      </c>
      <c r="N91" s="35">
        <f t="shared" si="32"/>
        <v>22134.813085504749</v>
      </c>
      <c r="O91" s="35">
        <f t="shared" si="32"/>
        <v>22046.27383316273</v>
      </c>
      <c r="P91" s="35">
        <f t="shared" si="32"/>
        <v>21958.088737830079</v>
      </c>
      <c r="Q91" s="35">
        <f t="shared" si="32"/>
        <v>21870.256382878761</v>
      </c>
      <c r="R91" s="35">
        <f t="shared" si="32"/>
        <v>21782.775357347244</v>
      </c>
      <c r="S91" s="35">
        <f t="shared" si="32"/>
        <v>21695.644255917854</v>
      </c>
      <c r="T91" s="35">
        <f t="shared" si="32"/>
        <v>21608.861678894184</v>
      </c>
      <c r="U91" s="35">
        <f t="shared" si="32"/>
        <v>21522.426232178608</v>
      </c>
      <c r="V91" s="35">
        <f t="shared" si="32"/>
        <v>21436.336527249892</v>
      </c>
      <c r="W91" s="35">
        <f t="shared" si="32"/>
        <v>21350.591181140891</v>
      </c>
    </row>
    <row r="92" spans="2:23" x14ac:dyDescent="0.25">
      <c r="B92" s="32" t="s">
        <v>41</v>
      </c>
      <c r="D92" s="35">
        <f t="shared" ref="D92:W92" si="33">D86</f>
        <v>-7338.1336000000001</v>
      </c>
      <c r="E92" s="35">
        <f t="shared" si="33"/>
        <v>-4288.3288000000002</v>
      </c>
      <c r="F92" s="35">
        <f t="shared" si="33"/>
        <v>-4262.6272192000006</v>
      </c>
      <c r="G92" s="35">
        <f t="shared" si="33"/>
        <v>-4237.0284447231998</v>
      </c>
      <c r="H92" s="35">
        <f t="shared" si="33"/>
        <v>-4211.5320653443077</v>
      </c>
      <c r="I92" s="35">
        <f t="shared" si="33"/>
        <v>-4186.1376714829303</v>
      </c>
      <c r="J92" s="35">
        <f t="shared" si="33"/>
        <v>-4160.8448551969996</v>
      </c>
      <c r="K92" s="35">
        <f t="shared" si="33"/>
        <v>-4135.6532101762114</v>
      </c>
      <c r="L92" s="35">
        <f t="shared" si="33"/>
        <v>-4110.5623317355066</v>
      </c>
      <c r="M92" s="35">
        <f t="shared" si="33"/>
        <v>-4085.5718168085646</v>
      </c>
      <c r="N92" s="35">
        <f t="shared" si="33"/>
        <v>-3173.7476639413303</v>
      </c>
      <c r="O92" s="35">
        <f t="shared" si="33"/>
        <v>-3148.9566732855646</v>
      </c>
      <c r="P92" s="35">
        <f t="shared" si="33"/>
        <v>-3124.2648465924226</v>
      </c>
      <c r="Q92" s="35">
        <f t="shared" si="33"/>
        <v>-3099.6717872060531</v>
      </c>
      <c r="R92" s="35">
        <f t="shared" si="33"/>
        <v>-3075.1771000572285</v>
      </c>
      <c r="S92" s="35">
        <f t="shared" si="33"/>
        <v>-3050.7803916569992</v>
      </c>
      <c r="T92" s="35">
        <f t="shared" si="33"/>
        <v>-3026.4812700903717</v>
      </c>
      <c r="U92" s="35">
        <f t="shared" si="33"/>
        <v>-3002.2793450100107</v>
      </c>
      <c r="V92" s="35">
        <f t="shared" si="33"/>
        <v>-2978.1742276299701</v>
      </c>
      <c r="W92" s="35">
        <f t="shared" si="33"/>
        <v>-2954.1655307194501</v>
      </c>
    </row>
    <row r="93" spans="2:23" x14ac:dyDescent="0.25">
      <c r="B93" s="32" t="s">
        <v>45</v>
      </c>
      <c r="C93" s="43">
        <f>-E21</f>
        <v>-216000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</row>
    <row r="94" spans="2:23" x14ac:dyDescent="0.25">
      <c r="B94" s="49" t="s">
        <v>44</v>
      </c>
      <c r="C94" s="51">
        <f>SUM(C91:C93)</f>
        <v>-216000</v>
      </c>
      <c r="D94" s="51">
        <f t="shared" ref="D94:W94" si="34">SUM(D91:D93)</f>
        <v>18869.486399999998</v>
      </c>
      <c r="E94" s="51">
        <f t="shared" si="34"/>
        <v>21827.1312</v>
      </c>
      <c r="F94" s="51">
        <f t="shared" si="34"/>
        <v>21761.0414208</v>
      </c>
      <c r="G94" s="51">
        <f t="shared" si="34"/>
        <v>21695.216000716799</v>
      </c>
      <c r="H94" s="51">
        <f t="shared" si="34"/>
        <v>21629.653882313931</v>
      </c>
      <c r="I94" s="51">
        <f t="shared" si="34"/>
        <v>21564.354012384676</v>
      </c>
      <c r="J94" s="51">
        <f t="shared" si="34"/>
        <v>21499.31534193514</v>
      </c>
      <c r="K94" s="51">
        <f t="shared" si="34"/>
        <v>21434.536826167401</v>
      </c>
      <c r="L94" s="51">
        <f t="shared" si="34"/>
        <v>21370.017424462731</v>
      </c>
      <c r="M94" s="51">
        <f t="shared" si="34"/>
        <v>21305.756100364877</v>
      </c>
      <c r="N94" s="51">
        <f t="shared" si="34"/>
        <v>18961.06542156342</v>
      </c>
      <c r="O94" s="51">
        <f t="shared" si="34"/>
        <v>18897.317159877166</v>
      </c>
      <c r="P94" s="51">
        <f t="shared" si="34"/>
        <v>18833.823891237658</v>
      </c>
      <c r="Q94" s="51">
        <f t="shared" si="34"/>
        <v>18770.584595672706</v>
      </c>
      <c r="R94" s="51">
        <f t="shared" si="34"/>
        <v>18707.598257290014</v>
      </c>
      <c r="S94" s="51">
        <f t="shared" si="34"/>
        <v>18644.863864260857</v>
      </c>
      <c r="T94" s="51">
        <f t="shared" si="34"/>
        <v>18582.380408803812</v>
      </c>
      <c r="U94" s="51">
        <f t="shared" si="34"/>
        <v>18520.146887168597</v>
      </c>
      <c r="V94" s="51">
        <f t="shared" si="34"/>
        <v>18458.162299619922</v>
      </c>
      <c r="W94" s="51">
        <f t="shared" si="34"/>
        <v>18396.425650421443</v>
      </c>
    </row>
    <row r="95" spans="2:23" x14ac:dyDescent="0.25">
      <c r="C95" s="35">
        <f t="shared" ref="C95" si="35">C94</f>
        <v>-216000</v>
      </c>
      <c r="D95" s="35">
        <f t="shared" ref="D95" si="36">C95+D94</f>
        <v>-197130.51360000001</v>
      </c>
      <c r="E95" s="35">
        <f t="shared" ref="E95" si="37">D95+E94</f>
        <v>-175303.3824</v>
      </c>
      <c r="F95" s="35">
        <f t="shared" ref="F95" si="38">E95+F94</f>
        <v>-153542.3409792</v>
      </c>
      <c r="G95" s="35">
        <f t="shared" ref="G95" si="39">F95+G94</f>
        <v>-131847.12497848319</v>
      </c>
      <c r="H95" s="35">
        <f t="shared" ref="H95" si="40">G95+H94</f>
        <v>-110217.47109616926</v>
      </c>
      <c r="I95" s="35">
        <f t="shared" ref="I95" si="41">H95+I94</f>
        <v>-88653.117083784586</v>
      </c>
      <c r="J95" s="35">
        <f t="shared" ref="J95" si="42">I95+J94</f>
        <v>-67153.801741849442</v>
      </c>
      <c r="K95" s="35">
        <f t="shared" ref="K95" si="43">J95+K94</f>
        <v>-45719.264915682041</v>
      </c>
      <c r="L95" s="35">
        <f t="shared" ref="L95" si="44">K95+L94</f>
        <v>-24349.24749121931</v>
      </c>
      <c r="M95" s="35">
        <f t="shared" ref="M95" si="45">L95+M94</f>
        <v>-3043.4913908544331</v>
      </c>
      <c r="N95" s="35">
        <f t="shared" ref="N95" si="46">M95+N94</f>
        <v>15917.574030708987</v>
      </c>
      <c r="O95" s="35">
        <f t="shared" ref="O95" si="47">N95+O94</f>
        <v>34814.891190586153</v>
      </c>
      <c r="P95" s="35">
        <f t="shared" ref="P95" si="48">O95+P94</f>
        <v>53648.715081823815</v>
      </c>
      <c r="Q95" s="35">
        <f t="shared" ref="Q95" si="49">P95+Q94</f>
        <v>72419.299677496514</v>
      </c>
      <c r="R95" s="35">
        <f t="shared" ref="R95" si="50">Q95+R94</f>
        <v>91126.897934786524</v>
      </c>
      <c r="S95" s="35">
        <f t="shared" ref="S95" si="51">R95+S94</f>
        <v>109771.76179904738</v>
      </c>
      <c r="T95" s="35">
        <f t="shared" ref="T95" si="52">S95+T94</f>
        <v>128354.1422078512</v>
      </c>
      <c r="U95" s="35">
        <f t="shared" ref="U95" si="53">T95+U94</f>
        <v>146874.28909501981</v>
      </c>
      <c r="V95" s="35">
        <f t="shared" ref="V95" si="54">U95+V94</f>
        <v>165332.45139463973</v>
      </c>
      <c r="W95" s="35">
        <f t="shared" ref="W95" si="55">V95+W94</f>
        <v>183728.87704506118</v>
      </c>
    </row>
    <row r="97" spans="2:3" x14ac:dyDescent="0.25">
      <c r="B97" s="27" t="s">
        <v>47</v>
      </c>
      <c r="C97" s="52">
        <f>-C93/D94</f>
        <v>11.447052422158137</v>
      </c>
    </row>
    <row r="98" spans="2:3" x14ac:dyDescent="0.25">
      <c r="B98" s="27" t="s">
        <v>48</v>
      </c>
      <c r="C98" s="59">
        <f>IRR(C94:W94)</f>
        <v>6.9959234938238302E-2</v>
      </c>
    </row>
  </sheetData>
  <pageMargins left="0.7" right="0.7" top="0.75" bottom="0.75" header="0.3" footer="0.3"/>
  <pageSetup paperSize="9" orientation="portrait" r:id="rId1"/>
  <ignoredErrors>
    <ignoredError sqref="E86:W86" formula="1"/>
    <ignoredError sqref="C5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2:W92"/>
  <sheetViews>
    <sheetView showGridLines="0" zoomScale="90" zoomScaleNormal="90" workbookViewId="0">
      <selection activeCell="E21" sqref="E21"/>
    </sheetView>
  </sheetViews>
  <sheetFormatPr defaultColWidth="8.90625" defaultRowHeight="11.5" x14ac:dyDescent="0.25"/>
  <cols>
    <col min="1" max="1" width="8.90625" style="29"/>
    <col min="2" max="2" width="40.81640625" style="29" customWidth="1"/>
    <col min="3" max="3" width="8.90625" style="28" customWidth="1"/>
    <col min="4" max="4" width="10.453125" style="29" bestFit="1" customWidth="1"/>
    <col min="5" max="6" width="8.90625" style="29"/>
    <col min="7" max="7" width="8.90625" style="29" customWidth="1"/>
    <col min="8" max="8" width="10" style="28" bestFit="1" customWidth="1"/>
    <col min="9" max="10" width="8.90625" style="29" customWidth="1"/>
    <col min="11" max="11" width="8.90625" style="29"/>
    <col min="12" max="12" width="8.90625" style="29" customWidth="1"/>
    <col min="13" max="16384" width="8.90625" style="29"/>
  </cols>
  <sheetData>
    <row r="2" spans="2:12" x14ac:dyDescent="0.25">
      <c r="B2" s="84" t="s">
        <v>138</v>
      </c>
      <c r="L2" s="86" t="s">
        <v>135</v>
      </c>
    </row>
    <row r="4" spans="2:12" x14ac:dyDescent="0.25">
      <c r="B4" s="27" t="s">
        <v>0</v>
      </c>
      <c r="G4" s="27"/>
    </row>
    <row r="6" spans="2:12" x14ac:dyDescent="0.25">
      <c r="B6" s="30" t="s">
        <v>1</v>
      </c>
      <c r="C6" s="31" t="s">
        <v>4</v>
      </c>
      <c r="D6" s="31" t="s">
        <v>11</v>
      </c>
    </row>
    <row r="7" spans="2:12" x14ac:dyDescent="0.25">
      <c r="B7" s="32" t="s">
        <v>10</v>
      </c>
      <c r="C7" s="28" t="s">
        <v>5</v>
      </c>
      <c r="D7" s="33">
        <v>200</v>
      </c>
    </row>
    <row r="8" spans="2:12" x14ac:dyDescent="0.25">
      <c r="B8" s="32" t="s">
        <v>9</v>
      </c>
      <c r="C8" s="28" t="s">
        <v>6</v>
      </c>
      <c r="D8" s="33">
        <v>1200</v>
      </c>
    </row>
    <row r="9" spans="2:12" x14ac:dyDescent="0.25">
      <c r="B9" s="32" t="s">
        <v>21</v>
      </c>
      <c r="C9" s="28" t="s">
        <v>11</v>
      </c>
      <c r="D9" s="34">
        <v>180</v>
      </c>
    </row>
    <row r="10" spans="2:12" x14ac:dyDescent="0.25">
      <c r="B10" s="32" t="s">
        <v>35</v>
      </c>
      <c r="C10" s="28" t="s">
        <v>7</v>
      </c>
      <c r="D10" s="37">
        <v>0</v>
      </c>
    </row>
    <row r="11" spans="2:12" x14ac:dyDescent="0.25">
      <c r="B11" s="32" t="s">
        <v>8</v>
      </c>
      <c r="C11" s="28" t="s">
        <v>7</v>
      </c>
      <c r="D11" s="37">
        <v>0.75</v>
      </c>
    </row>
    <row r="12" spans="2:12" x14ac:dyDescent="0.25">
      <c r="B12" s="32" t="s">
        <v>38</v>
      </c>
      <c r="C12" s="28" t="s">
        <v>39</v>
      </c>
      <c r="D12" s="40">
        <v>20</v>
      </c>
    </row>
    <row r="13" spans="2:12" x14ac:dyDescent="0.25">
      <c r="B13" s="32" t="s">
        <v>49</v>
      </c>
      <c r="D13" s="41">
        <v>-4.0000000000000001E-3</v>
      </c>
    </row>
    <row r="15" spans="2:12" x14ac:dyDescent="0.25">
      <c r="B15" s="30" t="s">
        <v>3</v>
      </c>
    </row>
    <row r="16" spans="2:12" x14ac:dyDescent="0.25">
      <c r="B16" s="32" t="s">
        <v>13</v>
      </c>
      <c r="C16" s="28" t="s">
        <v>12</v>
      </c>
      <c r="D16" s="42">
        <v>9.6000000000000002E-2</v>
      </c>
    </row>
    <row r="17" spans="1:23" x14ac:dyDescent="0.25">
      <c r="B17" s="32" t="s">
        <v>14</v>
      </c>
      <c r="C17" s="28" t="s">
        <v>12</v>
      </c>
      <c r="D17" s="42">
        <f>D16+0.15</f>
        <v>0.246</v>
      </c>
    </row>
    <row r="18" spans="1:23" x14ac:dyDescent="0.25">
      <c r="B18" s="32" t="s">
        <v>15</v>
      </c>
      <c r="C18" s="28" t="s">
        <v>12</v>
      </c>
      <c r="D18" s="42">
        <v>0.11</v>
      </c>
    </row>
    <row r="19" spans="1:23" x14ac:dyDescent="0.25">
      <c r="B19" s="32" t="s">
        <v>19</v>
      </c>
      <c r="C19" s="28" t="s">
        <v>12</v>
      </c>
      <c r="D19" s="42">
        <v>8.5000000000000006E-3</v>
      </c>
    </row>
    <row r="21" spans="1:23" x14ac:dyDescent="0.25">
      <c r="B21" s="32" t="s">
        <v>16</v>
      </c>
      <c r="C21" s="28" t="s">
        <v>17</v>
      </c>
      <c r="D21" s="33">
        <v>1200</v>
      </c>
      <c r="E21" s="35">
        <f>D21*D7*(1-D22)</f>
        <v>144000</v>
      </c>
    </row>
    <row r="22" spans="1:23" x14ac:dyDescent="0.25">
      <c r="B22" s="32" t="s">
        <v>61</v>
      </c>
      <c r="C22" s="28" t="s">
        <v>7</v>
      </c>
      <c r="D22" s="37">
        <v>0.4</v>
      </c>
      <c r="E22" s="35"/>
    </row>
    <row r="23" spans="1:23" x14ac:dyDescent="0.25">
      <c r="B23" s="32" t="s">
        <v>18</v>
      </c>
      <c r="C23" s="28" t="s">
        <v>20</v>
      </c>
      <c r="D23" s="44">
        <v>3.5000000000000003E-2</v>
      </c>
    </row>
    <row r="24" spans="1:23" x14ac:dyDescent="0.25">
      <c r="B24" s="32" t="s">
        <v>42</v>
      </c>
      <c r="C24" s="28" t="s">
        <v>7</v>
      </c>
      <c r="D24" s="37">
        <v>0.28000000000000003</v>
      </c>
    </row>
    <row r="25" spans="1:23" x14ac:dyDescent="0.25">
      <c r="B25" s="32"/>
    </row>
    <row r="26" spans="1:23" x14ac:dyDescent="0.25">
      <c r="B26" s="32" t="s">
        <v>96</v>
      </c>
      <c r="C26" s="28" t="s">
        <v>7</v>
      </c>
      <c r="D26" s="37">
        <v>0.5</v>
      </c>
    </row>
    <row r="27" spans="1:23" x14ac:dyDescent="0.25">
      <c r="B27" s="32" t="s">
        <v>98</v>
      </c>
      <c r="C27" s="28" t="s">
        <v>7</v>
      </c>
      <c r="D27" s="37">
        <v>0.05</v>
      </c>
    </row>
    <row r="28" spans="1:23" x14ac:dyDescent="0.25">
      <c r="B28" s="32" t="s">
        <v>99</v>
      </c>
      <c r="C28" s="28" t="s">
        <v>39</v>
      </c>
      <c r="D28" s="40">
        <v>12</v>
      </c>
      <c r="G28" s="32"/>
    </row>
    <row r="29" spans="1:23" x14ac:dyDescent="0.25">
      <c r="B29" s="32" t="s">
        <v>97</v>
      </c>
      <c r="C29" s="28" t="s">
        <v>58</v>
      </c>
      <c r="D29" s="35">
        <f>PMT(D27,D28,-D26*E21,0)</f>
        <v>8123.4295214987105</v>
      </c>
      <c r="G29" s="32"/>
    </row>
    <row r="31" spans="1:23" x14ac:dyDescent="0.25">
      <c r="B31" s="54" t="s">
        <v>66</v>
      </c>
      <c r="C31" s="55">
        <v>0</v>
      </c>
      <c r="D31" s="55">
        <v>1</v>
      </c>
      <c r="E31" s="55">
        <v>2</v>
      </c>
      <c r="F31" s="55">
        <v>3</v>
      </c>
      <c r="G31" s="55">
        <v>4</v>
      </c>
      <c r="H31" s="55">
        <v>5</v>
      </c>
      <c r="I31" s="55">
        <v>6</v>
      </c>
      <c r="J31" s="55">
        <v>7</v>
      </c>
      <c r="K31" s="55">
        <v>8</v>
      </c>
      <c r="L31" s="55">
        <v>9</v>
      </c>
      <c r="M31" s="55">
        <v>10</v>
      </c>
      <c r="N31" s="55">
        <v>11</v>
      </c>
      <c r="O31" s="55">
        <v>12</v>
      </c>
      <c r="P31" s="55">
        <v>13</v>
      </c>
      <c r="Q31" s="55">
        <v>14</v>
      </c>
      <c r="R31" s="55">
        <v>15</v>
      </c>
      <c r="S31" s="55">
        <v>16</v>
      </c>
      <c r="T31" s="55">
        <v>17</v>
      </c>
      <c r="U31" s="55">
        <v>18</v>
      </c>
      <c r="V31" s="55">
        <v>19</v>
      </c>
      <c r="W31" s="55">
        <v>20</v>
      </c>
    </row>
    <row r="32" spans="1:23" x14ac:dyDescent="0.25">
      <c r="A32" s="35">
        <f>AVERAGE(D32:W32)</f>
        <v>231095.20619579073</v>
      </c>
      <c r="B32" s="29" t="s">
        <v>25</v>
      </c>
      <c r="D32" s="35">
        <f>$D$7*$D$8</f>
        <v>240000</v>
      </c>
      <c r="E32" s="35">
        <f>D32*(1+$D$13)</f>
        <v>239040</v>
      </c>
      <c r="F32" s="35">
        <f t="shared" ref="F32:W32" si="0">E32*(1+$D$13)</f>
        <v>238083.84</v>
      </c>
      <c r="G32" s="35">
        <f t="shared" si="0"/>
        <v>237131.50464</v>
      </c>
      <c r="H32" s="35">
        <f t="shared" si="0"/>
        <v>236182.97862144001</v>
      </c>
      <c r="I32" s="35">
        <f t="shared" si="0"/>
        <v>235238.24670695426</v>
      </c>
      <c r="J32" s="35">
        <f t="shared" si="0"/>
        <v>234297.29372012644</v>
      </c>
      <c r="K32" s="35">
        <f t="shared" si="0"/>
        <v>233360.10454524594</v>
      </c>
      <c r="L32" s="35">
        <f t="shared" si="0"/>
        <v>232426.66412706496</v>
      </c>
      <c r="M32" s="35">
        <f t="shared" si="0"/>
        <v>231496.95747055669</v>
      </c>
      <c r="N32" s="35">
        <f t="shared" si="0"/>
        <v>230570.96964067448</v>
      </c>
      <c r="O32" s="35">
        <f t="shared" si="0"/>
        <v>229648.68576211177</v>
      </c>
      <c r="P32" s="35">
        <f t="shared" si="0"/>
        <v>228730.09101906331</v>
      </c>
      <c r="Q32" s="35">
        <f t="shared" si="0"/>
        <v>227815.17065498707</v>
      </c>
      <c r="R32" s="35">
        <f t="shared" si="0"/>
        <v>226903.90997236711</v>
      </c>
      <c r="S32" s="35">
        <f t="shared" si="0"/>
        <v>225996.29433247764</v>
      </c>
      <c r="T32" s="35">
        <f t="shared" si="0"/>
        <v>225092.30915514773</v>
      </c>
      <c r="U32" s="35">
        <f t="shared" si="0"/>
        <v>224191.93991852715</v>
      </c>
      <c r="V32" s="35">
        <f t="shared" si="0"/>
        <v>223295.17215885303</v>
      </c>
      <c r="W32" s="35">
        <f t="shared" si="0"/>
        <v>222401.99147021762</v>
      </c>
    </row>
    <row r="33" spans="2:23" x14ac:dyDescent="0.25">
      <c r="B33" s="29" t="s">
        <v>26</v>
      </c>
      <c r="D33" s="35">
        <f>$D$10*D32</f>
        <v>0</v>
      </c>
      <c r="E33" s="35">
        <f t="shared" ref="E33:W33" si="1">$D$10*E32</f>
        <v>0</v>
      </c>
      <c r="F33" s="35">
        <f t="shared" si="1"/>
        <v>0</v>
      </c>
      <c r="G33" s="35">
        <f t="shared" si="1"/>
        <v>0</v>
      </c>
      <c r="H33" s="35">
        <f t="shared" si="1"/>
        <v>0</v>
      </c>
      <c r="I33" s="35">
        <f t="shared" si="1"/>
        <v>0</v>
      </c>
      <c r="J33" s="35">
        <f t="shared" si="1"/>
        <v>0</v>
      </c>
      <c r="K33" s="35">
        <f t="shared" si="1"/>
        <v>0</v>
      </c>
      <c r="L33" s="35">
        <f t="shared" si="1"/>
        <v>0</v>
      </c>
      <c r="M33" s="35">
        <f t="shared" si="1"/>
        <v>0</v>
      </c>
      <c r="N33" s="35">
        <f t="shared" si="1"/>
        <v>0</v>
      </c>
      <c r="O33" s="35">
        <f t="shared" si="1"/>
        <v>0</v>
      </c>
      <c r="P33" s="35">
        <f t="shared" si="1"/>
        <v>0</v>
      </c>
      <c r="Q33" s="35">
        <f t="shared" si="1"/>
        <v>0</v>
      </c>
      <c r="R33" s="35">
        <f t="shared" si="1"/>
        <v>0</v>
      </c>
      <c r="S33" s="35">
        <f t="shared" si="1"/>
        <v>0</v>
      </c>
      <c r="T33" s="35">
        <f t="shared" si="1"/>
        <v>0</v>
      </c>
      <c r="U33" s="35">
        <f t="shared" si="1"/>
        <v>0</v>
      </c>
      <c r="V33" s="35">
        <f t="shared" si="1"/>
        <v>0</v>
      </c>
      <c r="W33" s="35">
        <f t="shared" si="1"/>
        <v>0</v>
      </c>
    </row>
    <row r="34" spans="2:23" x14ac:dyDescent="0.25">
      <c r="B34" s="29" t="s">
        <v>27</v>
      </c>
      <c r="D34" s="35">
        <f>$D$11*D32</f>
        <v>180000</v>
      </c>
      <c r="E34" s="35">
        <f t="shared" ref="E34:W34" si="2">$D$11*E32</f>
        <v>179280</v>
      </c>
      <c r="F34" s="35">
        <f t="shared" si="2"/>
        <v>178562.88</v>
      </c>
      <c r="G34" s="35">
        <f t="shared" si="2"/>
        <v>177848.62848000001</v>
      </c>
      <c r="H34" s="35">
        <f t="shared" si="2"/>
        <v>177137.23396608001</v>
      </c>
      <c r="I34" s="35">
        <f t="shared" si="2"/>
        <v>176428.68503021571</v>
      </c>
      <c r="J34" s="35">
        <f t="shared" si="2"/>
        <v>175722.97029009485</v>
      </c>
      <c r="K34" s="35">
        <f t="shared" si="2"/>
        <v>175020.07840893447</v>
      </c>
      <c r="L34" s="35">
        <f t="shared" si="2"/>
        <v>174319.99809529871</v>
      </c>
      <c r="M34" s="35">
        <f t="shared" si="2"/>
        <v>173622.71810291751</v>
      </c>
      <c r="N34" s="35">
        <f t="shared" si="2"/>
        <v>172928.22723050584</v>
      </c>
      <c r="O34" s="35">
        <f t="shared" si="2"/>
        <v>172236.51432158382</v>
      </c>
      <c r="P34" s="35">
        <f t="shared" si="2"/>
        <v>171547.5682642975</v>
      </c>
      <c r="Q34" s="35">
        <f t="shared" si="2"/>
        <v>170861.3779912403</v>
      </c>
      <c r="R34" s="35">
        <f t="shared" si="2"/>
        <v>170177.93247927533</v>
      </c>
      <c r="S34" s="35">
        <f t="shared" si="2"/>
        <v>169497.22074935824</v>
      </c>
      <c r="T34" s="35">
        <f t="shared" si="2"/>
        <v>168819.23186636079</v>
      </c>
      <c r="U34" s="35">
        <f t="shared" si="2"/>
        <v>168143.95493889536</v>
      </c>
      <c r="V34" s="35">
        <f t="shared" si="2"/>
        <v>167471.37911913978</v>
      </c>
      <c r="W34" s="35">
        <f t="shared" si="2"/>
        <v>166801.49360266322</v>
      </c>
    </row>
    <row r="36" spans="2:23" x14ac:dyDescent="0.25">
      <c r="B36" s="54" t="s">
        <v>67</v>
      </c>
      <c r="C36" s="55">
        <v>0</v>
      </c>
      <c r="D36" s="55">
        <v>1</v>
      </c>
      <c r="E36" s="55">
        <v>2</v>
      </c>
      <c r="F36" s="55">
        <v>3</v>
      </c>
      <c r="G36" s="55">
        <v>4</v>
      </c>
      <c r="H36" s="55">
        <v>5</v>
      </c>
      <c r="I36" s="55">
        <v>6</v>
      </c>
      <c r="J36" s="55">
        <v>7</v>
      </c>
      <c r="K36" s="55">
        <v>8</v>
      </c>
      <c r="L36" s="55">
        <v>9</v>
      </c>
      <c r="M36" s="55">
        <v>10</v>
      </c>
      <c r="N36" s="55">
        <v>11</v>
      </c>
      <c r="O36" s="55">
        <v>12</v>
      </c>
      <c r="P36" s="55">
        <v>13</v>
      </c>
      <c r="Q36" s="55">
        <v>14</v>
      </c>
      <c r="R36" s="55">
        <v>15</v>
      </c>
      <c r="S36" s="55">
        <v>16</v>
      </c>
      <c r="T36" s="55">
        <v>17</v>
      </c>
      <c r="U36" s="55">
        <v>18</v>
      </c>
      <c r="V36" s="55">
        <v>19</v>
      </c>
      <c r="W36" s="55">
        <v>20</v>
      </c>
    </row>
    <row r="37" spans="2:23" x14ac:dyDescent="0.25">
      <c r="B37" s="46" t="s">
        <v>29</v>
      </c>
      <c r="C37" s="47"/>
      <c r="D37" s="48">
        <f>SUM(D38:D41)</f>
        <v>31117.5</v>
      </c>
      <c r="E37" s="48">
        <f t="shared" ref="E37:W37" si="3">SUM(E38:E41)</f>
        <v>30993.03</v>
      </c>
      <c r="F37" s="48">
        <f t="shared" si="3"/>
        <v>30869.05788</v>
      </c>
      <c r="G37" s="48">
        <f t="shared" si="3"/>
        <v>30745.581648479998</v>
      </c>
      <c r="H37" s="48">
        <f t="shared" si="3"/>
        <v>30622.599321886079</v>
      </c>
      <c r="I37" s="48">
        <f t="shared" si="3"/>
        <v>30500.108924598535</v>
      </c>
      <c r="J37" s="48">
        <f t="shared" si="3"/>
        <v>30378.108488900147</v>
      </c>
      <c r="K37" s="48">
        <f t="shared" si="3"/>
        <v>30256.596054944544</v>
      </c>
      <c r="L37" s="48">
        <f t="shared" si="3"/>
        <v>30135.569670724763</v>
      </c>
      <c r="M37" s="48">
        <f t="shared" si="3"/>
        <v>30015.027392041869</v>
      </c>
      <c r="N37" s="48">
        <f t="shared" si="3"/>
        <v>29894.967282473699</v>
      </c>
      <c r="O37" s="48">
        <f t="shared" si="3"/>
        <v>29775.387413343808</v>
      </c>
      <c r="P37" s="48">
        <f t="shared" si="3"/>
        <v>29656.285863690435</v>
      </c>
      <c r="Q37" s="48">
        <f t="shared" si="3"/>
        <v>29537.660720235661</v>
      </c>
      <c r="R37" s="48">
        <f t="shared" si="3"/>
        <v>29419.51007735472</v>
      </c>
      <c r="S37" s="48">
        <f t="shared" si="3"/>
        <v>29301.8320370453</v>
      </c>
      <c r="T37" s="48">
        <f t="shared" si="3"/>
        <v>29184.624708897121</v>
      </c>
      <c r="U37" s="48">
        <f t="shared" si="3"/>
        <v>29067.886210061537</v>
      </c>
      <c r="V37" s="48">
        <f t="shared" si="3"/>
        <v>28951.614665221288</v>
      </c>
      <c r="W37" s="48">
        <f t="shared" si="3"/>
        <v>28835.808206560399</v>
      </c>
    </row>
    <row r="38" spans="2:23" x14ac:dyDescent="0.25">
      <c r="B38" s="32" t="s">
        <v>30</v>
      </c>
      <c r="D38" s="35">
        <f>D32*$D$16</f>
        <v>23040</v>
      </c>
      <c r="E38" s="35">
        <f t="shared" ref="E38:W38" si="4">E32*$D$16</f>
        <v>22947.84</v>
      </c>
      <c r="F38" s="35">
        <f t="shared" si="4"/>
        <v>22856.048640000001</v>
      </c>
      <c r="G38" s="35">
        <f t="shared" si="4"/>
        <v>22764.62444544</v>
      </c>
      <c r="H38" s="35">
        <f t="shared" si="4"/>
        <v>22673.56594765824</v>
      </c>
      <c r="I38" s="35">
        <f t="shared" si="4"/>
        <v>22582.871683867608</v>
      </c>
      <c r="J38" s="35">
        <f t="shared" si="4"/>
        <v>22492.540197132141</v>
      </c>
      <c r="K38" s="35">
        <f t="shared" si="4"/>
        <v>22402.570036343612</v>
      </c>
      <c r="L38" s="35">
        <f t="shared" si="4"/>
        <v>22312.959756198237</v>
      </c>
      <c r="M38" s="35">
        <f t="shared" si="4"/>
        <v>22223.707917173444</v>
      </c>
      <c r="N38" s="35">
        <f t="shared" si="4"/>
        <v>22134.813085504749</v>
      </c>
      <c r="O38" s="35">
        <f t="shared" si="4"/>
        <v>22046.27383316273</v>
      </c>
      <c r="P38" s="35">
        <f t="shared" si="4"/>
        <v>21958.088737830079</v>
      </c>
      <c r="Q38" s="35">
        <f t="shared" si="4"/>
        <v>21870.256382878761</v>
      </c>
      <c r="R38" s="35">
        <f t="shared" si="4"/>
        <v>21782.775357347244</v>
      </c>
      <c r="S38" s="35">
        <f t="shared" si="4"/>
        <v>21695.644255917854</v>
      </c>
      <c r="T38" s="35">
        <f t="shared" si="4"/>
        <v>21608.861678894184</v>
      </c>
      <c r="U38" s="35">
        <f t="shared" si="4"/>
        <v>21522.426232178608</v>
      </c>
      <c r="V38" s="35">
        <f t="shared" si="4"/>
        <v>21436.336527249892</v>
      </c>
      <c r="W38" s="35">
        <f t="shared" si="4"/>
        <v>21350.591181140891</v>
      </c>
    </row>
    <row r="39" spans="2:23" x14ac:dyDescent="0.25">
      <c r="B39" s="32" t="s">
        <v>31</v>
      </c>
      <c r="D39" s="35">
        <f>D33*$D$17*$D$10</f>
        <v>0</v>
      </c>
      <c r="E39" s="35">
        <f t="shared" ref="E39:W39" si="5">E33*$D$17*$D$10</f>
        <v>0</v>
      </c>
      <c r="F39" s="35">
        <f t="shared" si="5"/>
        <v>0</v>
      </c>
      <c r="G39" s="35">
        <f t="shared" si="5"/>
        <v>0</v>
      </c>
      <c r="H39" s="35">
        <f t="shared" si="5"/>
        <v>0</v>
      </c>
      <c r="I39" s="35">
        <f t="shared" si="5"/>
        <v>0</v>
      </c>
      <c r="J39" s="35">
        <f t="shared" si="5"/>
        <v>0</v>
      </c>
      <c r="K39" s="35">
        <f t="shared" si="5"/>
        <v>0</v>
      </c>
      <c r="L39" s="35">
        <f t="shared" si="5"/>
        <v>0</v>
      </c>
      <c r="M39" s="35">
        <f t="shared" si="5"/>
        <v>0</v>
      </c>
      <c r="N39" s="35">
        <f t="shared" si="5"/>
        <v>0</v>
      </c>
      <c r="O39" s="35">
        <f t="shared" si="5"/>
        <v>0</v>
      </c>
      <c r="P39" s="35">
        <f t="shared" si="5"/>
        <v>0</v>
      </c>
      <c r="Q39" s="35">
        <f t="shared" si="5"/>
        <v>0</v>
      </c>
      <c r="R39" s="35">
        <f t="shared" si="5"/>
        <v>0</v>
      </c>
      <c r="S39" s="35">
        <f t="shared" si="5"/>
        <v>0</v>
      </c>
      <c r="T39" s="35">
        <f t="shared" si="5"/>
        <v>0</v>
      </c>
      <c r="U39" s="35">
        <f t="shared" si="5"/>
        <v>0</v>
      </c>
      <c r="V39" s="35">
        <f t="shared" si="5"/>
        <v>0</v>
      </c>
      <c r="W39" s="35">
        <f t="shared" si="5"/>
        <v>0</v>
      </c>
    </row>
    <row r="40" spans="2:23" x14ac:dyDescent="0.25">
      <c r="B40" s="32" t="s">
        <v>32</v>
      </c>
      <c r="D40" s="35">
        <f>D34*($D$18+$D$19)*$D$11</f>
        <v>15997.5</v>
      </c>
      <c r="E40" s="35">
        <f t="shared" ref="E40:W40" si="6">E34*($D$18+$D$19)*$D$11</f>
        <v>15933.51</v>
      </c>
      <c r="F40" s="35">
        <f t="shared" si="6"/>
        <v>15869.775960000001</v>
      </c>
      <c r="G40" s="35">
        <f t="shared" si="6"/>
        <v>15806.296856159999</v>
      </c>
      <c r="H40" s="35">
        <f t="shared" si="6"/>
        <v>15743.07166873536</v>
      </c>
      <c r="I40" s="35">
        <f t="shared" si="6"/>
        <v>15680.09938206042</v>
      </c>
      <c r="J40" s="35">
        <f t="shared" si="6"/>
        <v>15617.378984532179</v>
      </c>
      <c r="K40" s="35">
        <f t="shared" si="6"/>
        <v>15554.909468594049</v>
      </c>
      <c r="L40" s="35">
        <f t="shared" si="6"/>
        <v>15492.689830719672</v>
      </c>
      <c r="M40" s="35">
        <f t="shared" si="6"/>
        <v>15430.719071396794</v>
      </c>
      <c r="N40" s="35">
        <f t="shared" si="6"/>
        <v>15368.996195111207</v>
      </c>
      <c r="O40" s="35">
        <f t="shared" si="6"/>
        <v>15307.520210330762</v>
      </c>
      <c r="P40" s="35">
        <f t="shared" si="6"/>
        <v>15246.29012948944</v>
      </c>
      <c r="Q40" s="35">
        <f t="shared" si="6"/>
        <v>15185.304968971479</v>
      </c>
      <c r="R40" s="35">
        <f t="shared" si="6"/>
        <v>15124.563749095594</v>
      </c>
      <c r="S40" s="35">
        <f t="shared" si="6"/>
        <v>15064.065494099214</v>
      </c>
      <c r="T40" s="35">
        <f t="shared" si="6"/>
        <v>15003.809232122814</v>
      </c>
      <c r="U40" s="35">
        <f t="shared" si="6"/>
        <v>14943.793995194324</v>
      </c>
      <c r="V40" s="35">
        <f t="shared" si="6"/>
        <v>14884.018819213547</v>
      </c>
      <c r="W40" s="35">
        <f t="shared" si="6"/>
        <v>14824.482743936693</v>
      </c>
    </row>
    <row r="41" spans="2:23" x14ac:dyDescent="0.25">
      <c r="B41" s="32" t="s">
        <v>123</v>
      </c>
      <c r="D41" s="35">
        <f>-D34*$D$18*$D$22</f>
        <v>-7920</v>
      </c>
      <c r="E41" s="35">
        <f t="shared" ref="E41:W41" si="7">-E34*$D$18*$D$22</f>
        <v>-7888.32</v>
      </c>
      <c r="F41" s="35">
        <f t="shared" si="7"/>
        <v>-7856.7667199999996</v>
      </c>
      <c r="G41" s="35">
        <f t="shared" si="7"/>
        <v>-7825.3396531200015</v>
      </c>
      <c r="H41" s="35">
        <f t="shared" si="7"/>
        <v>-7794.0382945075216</v>
      </c>
      <c r="I41" s="35">
        <f t="shared" si="7"/>
        <v>-7762.8621413294914</v>
      </c>
      <c r="J41" s="35">
        <f t="shared" si="7"/>
        <v>-7731.8106927641747</v>
      </c>
      <c r="K41" s="35">
        <f t="shared" si="7"/>
        <v>-7700.8834499931172</v>
      </c>
      <c r="L41" s="35">
        <f t="shared" si="7"/>
        <v>-7670.0799161931427</v>
      </c>
      <c r="M41" s="35">
        <f t="shared" si="7"/>
        <v>-7639.3995965283702</v>
      </c>
      <c r="N41" s="35">
        <f t="shared" si="7"/>
        <v>-7608.8419981422576</v>
      </c>
      <c r="O41" s="35">
        <f t="shared" si="7"/>
        <v>-7578.4066301496878</v>
      </c>
      <c r="P41" s="35">
        <f t="shared" si="7"/>
        <v>-7548.0930036290902</v>
      </c>
      <c r="Q41" s="35">
        <f t="shared" si="7"/>
        <v>-7517.9006316145742</v>
      </c>
      <c r="R41" s="35">
        <f t="shared" si="7"/>
        <v>-7487.8290290881159</v>
      </c>
      <c r="S41" s="35">
        <f t="shared" si="7"/>
        <v>-7457.8777129717628</v>
      </c>
      <c r="T41" s="35">
        <f t="shared" si="7"/>
        <v>-7428.0462021198755</v>
      </c>
      <c r="U41" s="35">
        <f t="shared" si="7"/>
        <v>-7398.3340173113966</v>
      </c>
      <c r="V41" s="35">
        <f t="shared" si="7"/>
        <v>-7368.7406812421505</v>
      </c>
      <c r="W41" s="35">
        <f t="shared" si="7"/>
        <v>-7339.265718517182</v>
      </c>
    </row>
    <row r="42" spans="2:23" x14ac:dyDescent="0.25">
      <c r="B42" s="46" t="s">
        <v>33</v>
      </c>
      <c r="C42" s="47"/>
      <c r="D42" s="48">
        <f>D43</f>
        <v>-8400.0000000000018</v>
      </c>
      <c r="E42" s="48">
        <f t="shared" ref="E42:W42" si="8">E43</f>
        <v>-8400.0000000000018</v>
      </c>
      <c r="F42" s="48">
        <f t="shared" si="8"/>
        <v>-8400.0000000000018</v>
      </c>
      <c r="G42" s="48">
        <f t="shared" si="8"/>
        <v>-8400.0000000000018</v>
      </c>
      <c r="H42" s="48">
        <f t="shared" si="8"/>
        <v>-8400.0000000000018</v>
      </c>
      <c r="I42" s="48">
        <f t="shared" si="8"/>
        <v>-8400.0000000000018</v>
      </c>
      <c r="J42" s="48">
        <f t="shared" si="8"/>
        <v>-8400.0000000000018</v>
      </c>
      <c r="K42" s="48">
        <f t="shared" si="8"/>
        <v>-8400.0000000000018</v>
      </c>
      <c r="L42" s="48">
        <f t="shared" si="8"/>
        <v>-8400.0000000000018</v>
      </c>
      <c r="M42" s="48">
        <f t="shared" si="8"/>
        <v>-8400.0000000000018</v>
      </c>
      <c r="N42" s="48">
        <f t="shared" si="8"/>
        <v>-8400.0000000000018</v>
      </c>
      <c r="O42" s="48">
        <f t="shared" si="8"/>
        <v>-8400.0000000000018</v>
      </c>
      <c r="P42" s="48">
        <f t="shared" si="8"/>
        <v>-8400.0000000000018</v>
      </c>
      <c r="Q42" s="48">
        <f t="shared" si="8"/>
        <v>-8400.0000000000018</v>
      </c>
      <c r="R42" s="48">
        <f t="shared" si="8"/>
        <v>-8400.0000000000018</v>
      </c>
      <c r="S42" s="48">
        <f t="shared" si="8"/>
        <v>-8400.0000000000018</v>
      </c>
      <c r="T42" s="48">
        <f t="shared" si="8"/>
        <v>-8400.0000000000018</v>
      </c>
      <c r="U42" s="48">
        <f t="shared" si="8"/>
        <v>-8400.0000000000018</v>
      </c>
      <c r="V42" s="48">
        <f t="shared" si="8"/>
        <v>-8400.0000000000018</v>
      </c>
      <c r="W42" s="48">
        <f t="shared" si="8"/>
        <v>-8400.0000000000018</v>
      </c>
    </row>
    <row r="43" spans="2:23" x14ac:dyDescent="0.25">
      <c r="B43" s="32" t="s">
        <v>18</v>
      </c>
      <c r="D43" s="35">
        <f>-$D$23*$D$7*$D$21</f>
        <v>-8400.0000000000018</v>
      </c>
      <c r="E43" s="35">
        <f t="shared" ref="E43:W43" si="9">-$D$23*$D$7*$D$21</f>
        <v>-8400.0000000000018</v>
      </c>
      <c r="F43" s="35">
        <f t="shared" si="9"/>
        <v>-8400.0000000000018</v>
      </c>
      <c r="G43" s="35">
        <f t="shared" si="9"/>
        <v>-8400.0000000000018</v>
      </c>
      <c r="H43" s="35">
        <f t="shared" si="9"/>
        <v>-8400.0000000000018</v>
      </c>
      <c r="I43" s="35">
        <f t="shared" si="9"/>
        <v>-8400.0000000000018</v>
      </c>
      <c r="J43" s="35">
        <f t="shared" si="9"/>
        <v>-8400.0000000000018</v>
      </c>
      <c r="K43" s="35">
        <f t="shared" si="9"/>
        <v>-8400.0000000000018</v>
      </c>
      <c r="L43" s="35">
        <f t="shared" si="9"/>
        <v>-8400.0000000000018</v>
      </c>
      <c r="M43" s="35">
        <f t="shared" si="9"/>
        <v>-8400.0000000000018</v>
      </c>
      <c r="N43" s="35">
        <f t="shared" si="9"/>
        <v>-8400.0000000000018</v>
      </c>
      <c r="O43" s="35">
        <f t="shared" si="9"/>
        <v>-8400.0000000000018</v>
      </c>
      <c r="P43" s="35">
        <f t="shared" si="9"/>
        <v>-8400.0000000000018</v>
      </c>
      <c r="Q43" s="35">
        <f t="shared" si="9"/>
        <v>-8400.0000000000018</v>
      </c>
      <c r="R43" s="35">
        <f t="shared" si="9"/>
        <v>-8400.0000000000018</v>
      </c>
      <c r="S43" s="35">
        <f t="shared" si="9"/>
        <v>-8400.0000000000018</v>
      </c>
      <c r="T43" s="35">
        <f t="shared" si="9"/>
        <v>-8400.0000000000018</v>
      </c>
      <c r="U43" s="35">
        <f t="shared" si="9"/>
        <v>-8400.0000000000018</v>
      </c>
      <c r="V43" s="35">
        <f t="shared" si="9"/>
        <v>-8400.0000000000018</v>
      </c>
      <c r="W43" s="35">
        <f t="shared" si="9"/>
        <v>-8400.0000000000018</v>
      </c>
    </row>
    <row r="44" spans="2:23" x14ac:dyDescent="0.25">
      <c r="B44" s="49" t="s">
        <v>36</v>
      </c>
      <c r="C44" s="50"/>
      <c r="D44" s="51">
        <f>D37+D42</f>
        <v>22717.5</v>
      </c>
      <c r="E44" s="51">
        <f t="shared" ref="E44:W44" si="10">E37+E42</f>
        <v>22593.03</v>
      </c>
      <c r="F44" s="51">
        <f t="shared" si="10"/>
        <v>22469.05788</v>
      </c>
      <c r="G44" s="51">
        <f t="shared" si="10"/>
        <v>22345.581648479994</v>
      </c>
      <c r="H44" s="51">
        <f t="shared" si="10"/>
        <v>22222.599321886075</v>
      </c>
      <c r="I44" s="51">
        <f t="shared" si="10"/>
        <v>22100.108924598535</v>
      </c>
      <c r="J44" s="51">
        <f t="shared" si="10"/>
        <v>21978.108488900143</v>
      </c>
      <c r="K44" s="51">
        <f t="shared" si="10"/>
        <v>21856.596054944544</v>
      </c>
      <c r="L44" s="51">
        <f t="shared" si="10"/>
        <v>21735.569670724763</v>
      </c>
      <c r="M44" s="51">
        <f t="shared" si="10"/>
        <v>21615.027392041869</v>
      </c>
      <c r="N44" s="51">
        <f t="shared" si="10"/>
        <v>21494.967282473699</v>
      </c>
      <c r="O44" s="51">
        <f t="shared" si="10"/>
        <v>21375.387413343808</v>
      </c>
      <c r="P44" s="51">
        <f t="shared" si="10"/>
        <v>21256.285863690435</v>
      </c>
      <c r="Q44" s="51">
        <f t="shared" si="10"/>
        <v>21137.660720235661</v>
      </c>
      <c r="R44" s="51">
        <f t="shared" si="10"/>
        <v>21019.510077354716</v>
      </c>
      <c r="S44" s="51">
        <f t="shared" si="10"/>
        <v>20901.8320370453</v>
      </c>
      <c r="T44" s="51">
        <f t="shared" si="10"/>
        <v>20784.624708897121</v>
      </c>
      <c r="U44" s="51">
        <f t="shared" si="10"/>
        <v>20667.886210061537</v>
      </c>
      <c r="V44" s="51">
        <f t="shared" si="10"/>
        <v>20551.614665221285</v>
      </c>
      <c r="W44" s="51">
        <f t="shared" si="10"/>
        <v>20435.808206560396</v>
      </c>
    </row>
    <row r="45" spans="2:23" x14ac:dyDescent="0.25">
      <c r="B45" s="32" t="s">
        <v>37</v>
      </c>
      <c r="D45" s="35">
        <f>-$E$21/$D$12</f>
        <v>-7200</v>
      </c>
      <c r="E45" s="35">
        <f t="shared" ref="E45:W45" si="11">-$E$21/$D$12</f>
        <v>-7200</v>
      </c>
      <c r="F45" s="35">
        <f t="shared" si="11"/>
        <v>-7200</v>
      </c>
      <c r="G45" s="35">
        <f t="shared" si="11"/>
        <v>-7200</v>
      </c>
      <c r="H45" s="35">
        <f t="shared" si="11"/>
        <v>-7200</v>
      </c>
      <c r="I45" s="35">
        <f t="shared" si="11"/>
        <v>-7200</v>
      </c>
      <c r="J45" s="35">
        <f t="shared" si="11"/>
        <v>-7200</v>
      </c>
      <c r="K45" s="35">
        <f t="shared" si="11"/>
        <v>-7200</v>
      </c>
      <c r="L45" s="35">
        <f t="shared" si="11"/>
        <v>-7200</v>
      </c>
      <c r="M45" s="35">
        <f t="shared" si="11"/>
        <v>-7200</v>
      </c>
      <c r="N45" s="35">
        <f t="shared" si="11"/>
        <v>-7200</v>
      </c>
      <c r="O45" s="35">
        <f t="shared" si="11"/>
        <v>-7200</v>
      </c>
      <c r="P45" s="35">
        <f t="shared" si="11"/>
        <v>-7200</v>
      </c>
      <c r="Q45" s="35">
        <f t="shared" si="11"/>
        <v>-7200</v>
      </c>
      <c r="R45" s="35">
        <f t="shared" si="11"/>
        <v>-7200</v>
      </c>
      <c r="S45" s="35">
        <f t="shared" si="11"/>
        <v>-7200</v>
      </c>
      <c r="T45" s="35">
        <f t="shared" si="11"/>
        <v>-7200</v>
      </c>
      <c r="U45" s="35">
        <f t="shared" si="11"/>
        <v>-7200</v>
      </c>
      <c r="V45" s="35">
        <f t="shared" si="11"/>
        <v>-7200</v>
      </c>
      <c r="W45" s="35">
        <f t="shared" si="11"/>
        <v>-7200</v>
      </c>
    </row>
    <row r="46" spans="2:23" x14ac:dyDescent="0.25">
      <c r="B46" s="49" t="s">
        <v>40</v>
      </c>
      <c r="C46" s="50"/>
      <c r="D46" s="51">
        <f>D44+D45</f>
        <v>15517.5</v>
      </c>
      <c r="E46" s="51">
        <f t="shared" ref="E46:W48" si="12">E44+E45</f>
        <v>15393.029999999999</v>
      </c>
      <c r="F46" s="51">
        <f t="shared" si="12"/>
        <v>15269.05788</v>
      </c>
      <c r="G46" s="51">
        <f t="shared" si="12"/>
        <v>15145.581648479994</v>
      </c>
      <c r="H46" s="51">
        <f t="shared" si="12"/>
        <v>15022.599321886075</v>
      </c>
      <c r="I46" s="51">
        <f t="shared" si="12"/>
        <v>14900.108924598535</v>
      </c>
      <c r="J46" s="51">
        <f t="shared" si="12"/>
        <v>14778.108488900143</v>
      </c>
      <c r="K46" s="51">
        <f t="shared" si="12"/>
        <v>14656.596054944544</v>
      </c>
      <c r="L46" s="51">
        <f t="shared" si="12"/>
        <v>14535.569670724763</v>
      </c>
      <c r="M46" s="51">
        <f t="shared" si="12"/>
        <v>14415.027392041869</v>
      </c>
      <c r="N46" s="51">
        <f t="shared" si="12"/>
        <v>14294.967282473699</v>
      </c>
      <c r="O46" s="51">
        <f t="shared" si="12"/>
        <v>14175.387413343808</v>
      </c>
      <c r="P46" s="51">
        <f t="shared" si="12"/>
        <v>14056.285863690435</v>
      </c>
      <c r="Q46" s="51">
        <f t="shared" si="12"/>
        <v>13937.660720235661</v>
      </c>
      <c r="R46" s="51">
        <f t="shared" si="12"/>
        <v>13819.510077354716</v>
      </c>
      <c r="S46" s="51">
        <f t="shared" si="12"/>
        <v>13701.8320370453</v>
      </c>
      <c r="T46" s="51">
        <f t="shared" si="12"/>
        <v>13584.624708897121</v>
      </c>
      <c r="U46" s="51">
        <f t="shared" si="12"/>
        <v>13467.886210061537</v>
      </c>
      <c r="V46" s="51">
        <f t="shared" si="12"/>
        <v>13351.614665221285</v>
      </c>
      <c r="W46" s="51">
        <f t="shared" si="12"/>
        <v>13235.808206560396</v>
      </c>
    </row>
    <row r="47" spans="2:23" x14ac:dyDescent="0.25">
      <c r="B47" s="64" t="s">
        <v>109</v>
      </c>
      <c r="C47" s="62"/>
      <c r="D47" s="65">
        <f>IF(D31&gt;$D$28,0,-$D$27*D60)</f>
        <v>-3600</v>
      </c>
      <c r="E47" s="65">
        <f t="shared" ref="E47:W47" si="13">IF(E31&gt;$D$28,0,-$D$27*E60)</f>
        <v>-3373.8285239250649</v>
      </c>
      <c r="F47" s="65">
        <f t="shared" si="13"/>
        <v>-3136.3484740463828</v>
      </c>
      <c r="G47" s="65">
        <f t="shared" si="13"/>
        <v>-2886.9944216737663</v>
      </c>
      <c r="H47" s="65">
        <f t="shared" si="13"/>
        <v>-2625.1726666825193</v>
      </c>
      <c r="I47" s="65">
        <f t="shared" si="13"/>
        <v>-2350.2598239417093</v>
      </c>
      <c r="J47" s="65">
        <f t="shared" si="13"/>
        <v>-2061.6013390638595</v>
      </c>
      <c r="K47" s="65">
        <f t="shared" si="13"/>
        <v>-1758.5099299421167</v>
      </c>
      <c r="L47" s="65">
        <f t="shared" si="13"/>
        <v>-1440.263950364287</v>
      </c>
      <c r="M47" s="65">
        <f t="shared" si="13"/>
        <v>-1106.1056718075658</v>
      </c>
      <c r="N47" s="65">
        <f t="shared" si="13"/>
        <v>-755.2394793230086</v>
      </c>
      <c r="O47" s="65">
        <f t="shared" si="13"/>
        <v>-386.82997721422345</v>
      </c>
      <c r="P47" s="65">
        <f t="shared" si="13"/>
        <v>0</v>
      </c>
      <c r="Q47" s="65">
        <f t="shared" si="13"/>
        <v>0</v>
      </c>
      <c r="R47" s="65">
        <f t="shared" si="13"/>
        <v>0</v>
      </c>
      <c r="S47" s="65">
        <f t="shared" si="13"/>
        <v>0</v>
      </c>
      <c r="T47" s="65">
        <f t="shared" si="13"/>
        <v>0</v>
      </c>
      <c r="U47" s="65">
        <f t="shared" si="13"/>
        <v>0</v>
      </c>
      <c r="V47" s="65">
        <f t="shared" si="13"/>
        <v>0</v>
      </c>
      <c r="W47" s="65">
        <f t="shared" si="13"/>
        <v>0</v>
      </c>
    </row>
    <row r="48" spans="2:23" x14ac:dyDescent="0.25">
      <c r="B48" s="49" t="s">
        <v>113</v>
      </c>
      <c r="C48" s="50"/>
      <c r="D48" s="51">
        <f>D46+D47</f>
        <v>11917.5</v>
      </c>
      <c r="E48" s="51">
        <f t="shared" si="12"/>
        <v>12019.201476074933</v>
      </c>
      <c r="F48" s="51">
        <f t="shared" si="12"/>
        <v>12132.709405953618</v>
      </c>
      <c r="G48" s="51">
        <f t="shared" si="12"/>
        <v>12258.587226806229</v>
      </c>
      <c r="H48" s="51">
        <f t="shared" si="12"/>
        <v>12397.426655203555</v>
      </c>
      <c r="I48" s="51">
        <f t="shared" si="12"/>
        <v>12549.849100656826</v>
      </c>
      <c r="J48" s="51">
        <f t="shared" si="12"/>
        <v>12716.507149836283</v>
      </c>
      <c r="K48" s="51">
        <f t="shared" si="12"/>
        <v>12898.086125002428</v>
      </c>
      <c r="L48" s="51">
        <f t="shared" si="12"/>
        <v>13095.305720360475</v>
      </c>
      <c r="M48" s="51">
        <f t="shared" si="12"/>
        <v>13308.921720234304</v>
      </c>
      <c r="N48" s="51">
        <f t="shared" si="12"/>
        <v>13539.72780315069</v>
      </c>
      <c r="O48" s="51">
        <f t="shared" si="12"/>
        <v>13788.557436129584</v>
      </c>
      <c r="P48" s="51">
        <f t="shared" si="12"/>
        <v>14056.285863690435</v>
      </c>
      <c r="Q48" s="51">
        <f t="shared" si="12"/>
        <v>13937.660720235661</v>
      </c>
      <c r="R48" s="51">
        <f t="shared" si="12"/>
        <v>13819.510077354716</v>
      </c>
      <c r="S48" s="51">
        <f t="shared" si="12"/>
        <v>13701.8320370453</v>
      </c>
      <c r="T48" s="51">
        <f t="shared" si="12"/>
        <v>13584.624708897121</v>
      </c>
      <c r="U48" s="51">
        <f t="shared" si="12"/>
        <v>13467.886210061537</v>
      </c>
      <c r="V48" s="51">
        <f t="shared" si="12"/>
        <v>13351.614665221285</v>
      </c>
      <c r="W48" s="51">
        <f t="shared" si="12"/>
        <v>13235.808206560396</v>
      </c>
    </row>
    <row r="49" spans="2:23" x14ac:dyDescent="0.25">
      <c r="B49" s="32" t="s">
        <v>41</v>
      </c>
      <c r="D49" s="35">
        <f>-(D38+D43+D45)*$D$24</f>
        <v>-2083.1999999999998</v>
      </c>
      <c r="E49" s="35">
        <f t="shared" ref="E49:W49" si="14">-(E38+E43+E45)*$D$24</f>
        <v>-2057.3951999999999</v>
      </c>
      <c r="F49" s="35">
        <f t="shared" si="14"/>
        <v>-2031.6936191999998</v>
      </c>
      <c r="G49" s="35">
        <f t="shared" si="14"/>
        <v>-2006.0948447231997</v>
      </c>
      <c r="H49" s="35">
        <f t="shared" si="14"/>
        <v>-1980.598465344307</v>
      </c>
      <c r="I49" s="35">
        <f t="shared" si="14"/>
        <v>-1955.20407148293</v>
      </c>
      <c r="J49" s="35">
        <f t="shared" si="14"/>
        <v>-1929.911255196999</v>
      </c>
      <c r="K49" s="35">
        <f t="shared" si="14"/>
        <v>-1904.7196101762111</v>
      </c>
      <c r="L49" s="35">
        <f t="shared" si="14"/>
        <v>-1879.6287317355061</v>
      </c>
      <c r="M49" s="35">
        <f t="shared" si="14"/>
        <v>-1854.638216808564</v>
      </c>
      <c r="N49" s="35">
        <f t="shared" si="14"/>
        <v>-1829.7476639413294</v>
      </c>
      <c r="O49" s="35">
        <f t="shared" si="14"/>
        <v>-1804.956673285564</v>
      </c>
      <c r="P49" s="35">
        <f t="shared" si="14"/>
        <v>-1780.2648465924219</v>
      </c>
      <c r="Q49" s="35">
        <f t="shared" si="14"/>
        <v>-1755.6717872060526</v>
      </c>
      <c r="R49" s="35">
        <f t="shared" si="14"/>
        <v>-1731.1771000572278</v>
      </c>
      <c r="S49" s="35">
        <f t="shared" si="14"/>
        <v>-1706.7803916569987</v>
      </c>
      <c r="T49" s="35">
        <f t="shared" si="14"/>
        <v>-1682.481270090371</v>
      </c>
      <c r="U49" s="35">
        <f t="shared" si="14"/>
        <v>-1658.27934501001</v>
      </c>
      <c r="V49" s="35">
        <f t="shared" si="14"/>
        <v>-1634.1742276299694</v>
      </c>
      <c r="W49" s="35">
        <f t="shared" si="14"/>
        <v>-1610.1655307194492</v>
      </c>
    </row>
    <row r="50" spans="2:23" x14ac:dyDescent="0.25">
      <c r="B50" s="49" t="s">
        <v>43</v>
      </c>
      <c r="C50" s="50"/>
      <c r="D50" s="51">
        <f>D48+D49</f>
        <v>9834.2999999999993</v>
      </c>
      <c r="E50" s="51">
        <f t="shared" ref="E50:W50" si="15">E48+E49</f>
        <v>9961.8062760749344</v>
      </c>
      <c r="F50" s="51">
        <f t="shared" si="15"/>
        <v>10101.015786753618</v>
      </c>
      <c r="G50" s="51">
        <f t="shared" si="15"/>
        <v>10252.492382083028</v>
      </c>
      <c r="H50" s="51">
        <f t="shared" si="15"/>
        <v>10416.828189859249</v>
      </c>
      <c r="I50" s="51">
        <f t="shared" si="15"/>
        <v>10594.645029173895</v>
      </c>
      <c r="J50" s="51">
        <f t="shared" si="15"/>
        <v>10786.595894639284</v>
      </c>
      <c r="K50" s="51">
        <f t="shared" si="15"/>
        <v>10993.366514826217</v>
      </c>
      <c r="L50" s="51">
        <f t="shared" si="15"/>
        <v>11215.676988624969</v>
      </c>
      <c r="M50" s="51">
        <f t="shared" si="15"/>
        <v>11454.28350342574</v>
      </c>
      <c r="N50" s="51">
        <f t="shared" si="15"/>
        <v>11709.980139209361</v>
      </c>
      <c r="O50" s="51">
        <f t="shared" si="15"/>
        <v>11983.60076284402</v>
      </c>
      <c r="P50" s="51">
        <f t="shared" si="15"/>
        <v>12276.021017098014</v>
      </c>
      <c r="Q50" s="51">
        <f t="shared" si="15"/>
        <v>12181.988933029608</v>
      </c>
      <c r="R50" s="51">
        <f t="shared" si="15"/>
        <v>12088.332977297488</v>
      </c>
      <c r="S50" s="51">
        <f t="shared" si="15"/>
        <v>11995.051645388301</v>
      </c>
      <c r="T50" s="51">
        <f t="shared" si="15"/>
        <v>11902.14343880675</v>
      </c>
      <c r="U50" s="51">
        <f t="shared" si="15"/>
        <v>11809.606865051526</v>
      </c>
      <c r="V50" s="51">
        <f t="shared" si="15"/>
        <v>11717.440437591315</v>
      </c>
      <c r="W50" s="51">
        <f t="shared" si="15"/>
        <v>11625.642675840947</v>
      </c>
    </row>
    <row r="51" spans="2:23" x14ac:dyDescent="0.25">
      <c r="D51" s="38">
        <f t="shared" ref="D51:W51" si="16">D50/D37</f>
        <v>0.31603759942154735</v>
      </c>
      <c r="E51" s="38">
        <f t="shared" si="16"/>
        <v>0.32142085740164594</v>
      </c>
      <c r="F51" s="38">
        <f t="shared" si="16"/>
        <v>0.32722138220156194</v>
      </c>
      <c r="G51" s="38">
        <f t="shared" si="16"/>
        <v>0.33346230034941921</v>
      </c>
      <c r="H51" s="38">
        <f t="shared" si="16"/>
        <v>0.34016799424385591</v>
      </c>
      <c r="I51" s="38">
        <f t="shared" si="16"/>
        <v>0.34736417025151162</v>
      </c>
      <c r="J51" s="38">
        <f t="shared" si="16"/>
        <v>0.35507793049658098</v>
      </c>
      <c r="K51" s="38">
        <f t="shared" si="16"/>
        <v>0.36333784854260487</v>
      </c>
      <c r="L51" s="38">
        <f t="shared" si="16"/>
        <v>0.37217404917752239</v>
      </c>
      <c r="M51" s="38">
        <f t="shared" si="16"/>
        <v>0.38161829252445423</v>
      </c>
      <c r="N51" s="38">
        <f t="shared" si="16"/>
        <v>0.39170406271273911</v>
      </c>
      <c r="O51" s="38">
        <f t="shared" si="16"/>
        <v>0.40246666135647263</v>
      </c>
      <c r="P51" s="38">
        <f t="shared" si="16"/>
        <v>0.41394330610119034</v>
      </c>
      <c r="Q51" s="38">
        <f t="shared" si="16"/>
        <v>0.41242226486418987</v>
      </c>
      <c r="R51" s="38">
        <f t="shared" si="16"/>
        <v>0.41089511502784415</v>
      </c>
      <c r="S51" s="38">
        <f t="shared" si="16"/>
        <v>0.40936183205962579</v>
      </c>
      <c r="T51" s="38">
        <f t="shared" si="16"/>
        <v>0.4078223913284828</v>
      </c>
      <c r="U51" s="38">
        <f t="shared" si="16"/>
        <v>0.40627676810444363</v>
      </c>
      <c r="V51" s="38">
        <f t="shared" si="16"/>
        <v>0.40472493755821937</v>
      </c>
      <c r="W51" s="38">
        <f t="shared" si="16"/>
        <v>0.40316687476080559</v>
      </c>
    </row>
    <row r="52" spans="2:23" x14ac:dyDescent="0.25"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</row>
    <row r="53" spans="2:23" x14ac:dyDescent="0.25">
      <c r="B53" s="54" t="s">
        <v>100</v>
      </c>
      <c r="C53" s="55">
        <v>0</v>
      </c>
      <c r="D53" s="55">
        <v>1</v>
      </c>
      <c r="E53" s="55">
        <v>2</v>
      </c>
      <c r="F53" s="55">
        <v>3</v>
      </c>
      <c r="G53" s="55">
        <v>4</v>
      </c>
      <c r="H53" s="55">
        <v>5</v>
      </c>
      <c r="I53" s="55">
        <v>6</v>
      </c>
      <c r="J53" s="55">
        <v>7</v>
      </c>
      <c r="K53" s="55">
        <v>8</v>
      </c>
      <c r="L53" s="55">
        <v>9</v>
      </c>
      <c r="M53" s="55">
        <v>10</v>
      </c>
      <c r="N53" s="55">
        <v>11</v>
      </c>
      <c r="O53" s="55">
        <v>12</v>
      </c>
      <c r="P53" s="55">
        <v>13</v>
      </c>
      <c r="Q53" s="55">
        <v>14</v>
      </c>
      <c r="R53" s="55">
        <v>15</v>
      </c>
      <c r="S53" s="55">
        <v>16</v>
      </c>
      <c r="T53" s="55">
        <v>17</v>
      </c>
      <c r="U53" s="55">
        <v>18</v>
      </c>
      <c r="V53" s="55">
        <v>19</v>
      </c>
      <c r="W53" s="55">
        <v>20</v>
      </c>
    </row>
    <row r="54" spans="2:23" x14ac:dyDescent="0.25">
      <c r="B54" s="29" t="s">
        <v>101</v>
      </c>
      <c r="C54" s="28">
        <v>0</v>
      </c>
      <c r="D54" s="43">
        <f>C57</f>
        <v>144000</v>
      </c>
      <c r="E54" s="43">
        <f t="shared" ref="E54:W54" si="17">D57</f>
        <v>136800</v>
      </c>
      <c r="F54" s="43">
        <f t="shared" si="17"/>
        <v>129600</v>
      </c>
      <c r="G54" s="43">
        <f t="shared" si="17"/>
        <v>122400</v>
      </c>
      <c r="H54" s="43">
        <f t="shared" si="17"/>
        <v>115200</v>
      </c>
      <c r="I54" s="43">
        <f t="shared" si="17"/>
        <v>108000</v>
      </c>
      <c r="J54" s="43">
        <f t="shared" si="17"/>
        <v>100800</v>
      </c>
      <c r="K54" s="43">
        <f t="shared" si="17"/>
        <v>93600</v>
      </c>
      <c r="L54" s="43">
        <f t="shared" si="17"/>
        <v>86400</v>
      </c>
      <c r="M54" s="43">
        <f t="shared" si="17"/>
        <v>79200</v>
      </c>
      <c r="N54" s="43">
        <f t="shared" si="17"/>
        <v>72000</v>
      </c>
      <c r="O54" s="43">
        <f t="shared" si="17"/>
        <v>64800</v>
      </c>
      <c r="P54" s="43">
        <f t="shared" si="17"/>
        <v>57600</v>
      </c>
      <c r="Q54" s="43">
        <f t="shared" si="17"/>
        <v>50400</v>
      </c>
      <c r="R54" s="43">
        <f t="shared" si="17"/>
        <v>43200</v>
      </c>
      <c r="S54" s="43">
        <f t="shared" si="17"/>
        <v>36000</v>
      </c>
      <c r="T54" s="43">
        <f t="shared" si="17"/>
        <v>28800</v>
      </c>
      <c r="U54" s="43">
        <f t="shared" si="17"/>
        <v>21600</v>
      </c>
      <c r="V54" s="43">
        <f t="shared" si="17"/>
        <v>14400</v>
      </c>
      <c r="W54" s="43">
        <f t="shared" si="17"/>
        <v>7200</v>
      </c>
    </row>
    <row r="55" spans="2:23" x14ac:dyDescent="0.25">
      <c r="B55" s="32" t="s">
        <v>103</v>
      </c>
      <c r="C55" s="43">
        <f>-C72</f>
        <v>144000</v>
      </c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</row>
    <row r="56" spans="2:23" x14ac:dyDescent="0.25">
      <c r="B56" s="32" t="s">
        <v>104</v>
      </c>
      <c r="D56" s="35">
        <f t="shared" ref="D56:W56" si="18">D45</f>
        <v>-7200</v>
      </c>
      <c r="E56" s="35">
        <f t="shared" si="18"/>
        <v>-7200</v>
      </c>
      <c r="F56" s="35">
        <f t="shared" si="18"/>
        <v>-7200</v>
      </c>
      <c r="G56" s="35">
        <f t="shared" si="18"/>
        <v>-7200</v>
      </c>
      <c r="H56" s="35">
        <f t="shared" si="18"/>
        <v>-7200</v>
      </c>
      <c r="I56" s="35">
        <f t="shared" si="18"/>
        <v>-7200</v>
      </c>
      <c r="J56" s="35">
        <f t="shared" si="18"/>
        <v>-7200</v>
      </c>
      <c r="K56" s="35">
        <f t="shared" si="18"/>
        <v>-7200</v>
      </c>
      <c r="L56" s="35">
        <f t="shared" si="18"/>
        <v>-7200</v>
      </c>
      <c r="M56" s="35">
        <f t="shared" si="18"/>
        <v>-7200</v>
      </c>
      <c r="N56" s="35">
        <f t="shared" si="18"/>
        <v>-7200</v>
      </c>
      <c r="O56" s="35">
        <f t="shared" si="18"/>
        <v>-7200</v>
      </c>
      <c r="P56" s="35">
        <f t="shared" si="18"/>
        <v>-7200</v>
      </c>
      <c r="Q56" s="35">
        <f t="shared" si="18"/>
        <v>-7200</v>
      </c>
      <c r="R56" s="35">
        <f t="shared" si="18"/>
        <v>-7200</v>
      </c>
      <c r="S56" s="35">
        <f t="shared" si="18"/>
        <v>-7200</v>
      </c>
      <c r="T56" s="35">
        <f t="shared" si="18"/>
        <v>-7200</v>
      </c>
      <c r="U56" s="35">
        <f t="shared" si="18"/>
        <v>-7200</v>
      </c>
      <c r="V56" s="35">
        <f t="shared" si="18"/>
        <v>-7200</v>
      </c>
      <c r="W56" s="35">
        <f t="shared" si="18"/>
        <v>-7200</v>
      </c>
    </row>
    <row r="57" spans="2:23" x14ac:dyDescent="0.25">
      <c r="B57" s="46" t="s">
        <v>102</v>
      </c>
      <c r="C57" s="48">
        <f>SUM(C54:C56)</f>
        <v>144000</v>
      </c>
      <c r="D57" s="48">
        <f t="shared" ref="D57:W57" si="19">SUM(D54:D56)</f>
        <v>136800</v>
      </c>
      <c r="E57" s="48">
        <f t="shared" si="19"/>
        <v>129600</v>
      </c>
      <c r="F57" s="48">
        <f t="shared" si="19"/>
        <v>122400</v>
      </c>
      <c r="G57" s="48">
        <f t="shared" si="19"/>
        <v>115200</v>
      </c>
      <c r="H57" s="48">
        <f t="shared" si="19"/>
        <v>108000</v>
      </c>
      <c r="I57" s="48">
        <f t="shared" si="19"/>
        <v>100800</v>
      </c>
      <c r="J57" s="48">
        <f t="shared" si="19"/>
        <v>93600</v>
      </c>
      <c r="K57" s="48">
        <f t="shared" si="19"/>
        <v>86400</v>
      </c>
      <c r="L57" s="48">
        <f t="shared" si="19"/>
        <v>79200</v>
      </c>
      <c r="M57" s="48">
        <f t="shared" si="19"/>
        <v>72000</v>
      </c>
      <c r="N57" s="48">
        <f t="shared" si="19"/>
        <v>64800</v>
      </c>
      <c r="O57" s="48">
        <f t="shared" si="19"/>
        <v>57600</v>
      </c>
      <c r="P57" s="48">
        <f t="shared" si="19"/>
        <v>50400</v>
      </c>
      <c r="Q57" s="48">
        <f t="shared" si="19"/>
        <v>43200</v>
      </c>
      <c r="R57" s="48">
        <f t="shared" si="19"/>
        <v>36000</v>
      </c>
      <c r="S57" s="48">
        <f t="shared" si="19"/>
        <v>28800</v>
      </c>
      <c r="T57" s="48">
        <f t="shared" si="19"/>
        <v>21600</v>
      </c>
      <c r="U57" s="48">
        <f t="shared" si="19"/>
        <v>14400</v>
      </c>
      <c r="V57" s="48">
        <f t="shared" si="19"/>
        <v>7200</v>
      </c>
      <c r="W57" s="48">
        <f t="shared" si="19"/>
        <v>0</v>
      </c>
    </row>
    <row r="58" spans="2:23" x14ac:dyDescent="0.25">
      <c r="B58" s="49" t="s">
        <v>105</v>
      </c>
      <c r="C58" s="51">
        <f>C57</f>
        <v>144000</v>
      </c>
      <c r="D58" s="51">
        <f t="shared" ref="D58:W58" si="20">D57</f>
        <v>136800</v>
      </c>
      <c r="E58" s="51">
        <f t="shared" si="20"/>
        <v>129600</v>
      </c>
      <c r="F58" s="51">
        <f t="shared" si="20"/>
        <v>122400</v>
      </c>
      <c r="G58" s="51">
        <f t="shared" si="20"/>
        <v>115200</v>
      </c>
      <c r="H58" s="51">
        <f t="shared" si="20"/>
        <v>108000</v>
      </c>
      <c r="I58" s="51">
        <f t="shared" si="20"/>
        <v>100800</v>
      </c>
      <c r="J58" s="51">
        <f t="shared" si="20"/>
        <v>93600</v>
      </c>
      <c r="K58" s="51">
        <f t="shared" si="20"/>
        <v>86400</v>
      </c>
      <c r="L58" s="51">
        <f t="shared" si="20"/>
        <v>79200</v>
      </c>
      <c r="M58" s="51">
        <f t="shared" si="20"/>
        <v>72000</v>
      </c>
      <c r="N58" s="51">
        <f t="shared" si="20"/>
        <v>64800</v>
      </c>
      <c r="O58" s="51">
        <f t="shared" si="20"/>
        <v>57600</v>
      </c>
      <c r="P58" s="51">
        <f t="shared" si="20"/>
        <v>50400</v>
      </c>
      <c r="Q58" s="51">
        <f t="shared" si="20"/>
        <v>43200</v>
      </c>
      <c r="R58" s="51">
        <f t="shared" si="20"/>
        <v>36000</v>
      </c>
      <c r="S58" s="51">
        <f t="shared" si="20"/>
        <v>28800</v>
      </c>
      <c r="T58" s="51">
        <f t="shared" si="20"/>
        <v>21600</v>
      </c>
      <c r="U58" s="51">
        <f t="shared" si="20"/>
        <v>14400</v>
      </c>
      <c r="V58" s="51">
        <f t="shared" si="20"/>
        <v>7200</v>
      </c>
      <c r="W58" s="51">
        <f t="shared" si="20"/>
        <v>0</v>
      </c>
    </row>
    <row r="59" spans="2:23" x14ac:dyDescent="0.25">
      <c r="B59" s="46" t="s">
        <v>106</v>
      </c>
      <c r="C59" s="48">
        <f>E21*(1-D26)</f>
        <v>72000</v>
      </c>
      <c r="D59" s="48">
        <f>C59+D50</f>
        <v>81834.3</v>
      </c>
      <c r="E59" s="48">
        <f t="shared" ref="E59:W59" si="21">D59+E50</f>
        <v>91796.106276074934</v>
      </c>
      <c r="F59" s="48">
        <f t="shared" si="21"/>
        <v>101897.12206282855</v>
      </c>
      <c r="G59" s="48">
        <f t="shared" si="21"/>
        <v>112149.61444491158</v>
      </c>
      <c r="H59" s="48">
        <f t="shared" si="21"/>
        <v>122566.44263477084</v>
      </c>
      <c r="I59" s="48">
        <f t="shared" si="21"/>
        <v>133161.08766394472</v>
      </c>
      <c r="J59" s="48">
        <f t="shared" si="21"/>
        <v>143947.68355858402</v>
      </c>
      <c r="K59" s="48">
        <f t="shared" si="21"/>
        <v>154941.05007341024</v>
      </c>
      <c r="L59" s="48">
        <f t="shared" si="21"/>
        <v>166156.72706203521</v>
      </c>
      <c r="M59" s="48">
        <f t="shared" si="21"/>
        <v>177611.01056546095</v>
      </c>
      <c r="N59" s="48">
        <f t="shared" si="21"/>
        <v>189320.99070467032</v>
      </c>
      <c r="O59" s="48">
        <f t="shared" si="21"/>
        <v>201304.59146751434</v>
      </c>
      <c r="P59" s="48">
        <f t="shared" si="21"/>
        <v>213580.61248461236</v>
      </c>
      <c r="Q59" s="48">
        <f t="shared" si="21"/>
        <v>225762.60141764197</v>
      </c>
      <c r="R59" s="48">
        <f t="shared" si="21"/>
        <v>237850.93439493945</v>
      </c>
      <c r="S59" s="48">
        <f t="shared" si="21"/>
        <v>249845.98604032776</v>
      </c>
      <c r="T59" s="48">
        <f t="shared" si="21"/>
        <v>261748.12947913451</v>
      </c>
      <c r="U59" s="48">
        <f t="shared" si="21"/>
        <v>273557.73634418607</v>
      </c>
      <c r="V59" s="48">
        <f t="shared" si="21"/>
        <v>285275.17678177741</v>
      </c>
      <c r="W59" s="48">
        <f t="shared" si="21"/>
        <v>296900.81945761835</v>
      </c>
    </row>
    <row r="60" spans="2:23" x14ac:dyDescent="0.25">
      <c r="B60" s="32" t="s">
        <v>107</v>
      </c>
      <c r="C60" s="28">
        <v>0</v>
      </c>
      <c r="D60" s="43">
        <f>C63</f>
        <v>72000</v>
      </c>
      <c r="E60" s="43">
        <f t="shared" ref="E60:W60" si="22">D63</f>
        <v>67476.570478501293</v>
      </c>
      <c r="F60" s="43">
        <f t="shared" si="22"/>
        <v>62726.969480927648</v>
      </c>
      <c r="G60" s="43">
        <f t="shared" si="22"/>
        <v>57739.888433475324</v>
      </c>
      <c r="H60" s="43">
        <f t="shared" si="22"/>
        <v>52503.453333650381</v>
      </c>
      <c r="I60" s="43">
        <f t="shared" si="22"/>
        <v>47005.196478834187</v>
      </c>
      <c r="J60" s="43">
        <f t="shared" si="22"/>
        <v>41232.026781277185</v>
      </c>
      <c r="K60" s="43">
        <f t="shared" si="22"/>
        <v>35170.198598842333</v>
      </c>
      <c r="L60" s="43">
        <f t="shared" si="22"/>
        <v>28805.279007285739</v>
      </c>
      <c r="M60" s="43">
        <f t="shared" si="22"/>
        <v>22122.113436151314</v>
      </c>
      <c r="N60" s="43">
        <f t="shared" si="22"/>
        <v>15104.789586460171</v>
      </c>
      <c r="O60" s="43">
        <f t="shared" si="22"/>
        <v>7736.5995442844687</v>
      </c>
      <c r="P60" s="43">
        <f t="shared" si="22"/>
        <v>-1.8189894035458565E-11</v>
      </c>
      <c r="Q60" s="43">
        <f t="shared" si="22"/>
        <v>-1.8189894035458565E-11</v>
      </c>
      <c r="R60" s="43">
        <f t="shared" si="22"/>
        <v>-1.8189894035458565E-11</v>
      </c>
      <c r="S60" s="43">
        <f t="shared" si="22"/>
        <v>-1.8189894035458565E-11</v>
      </c>
      <c r="T60" s="43">
        <f t="shared" si="22"/>
        <v>-1.8189894035458565E-11</v>
      </c>
      <c r="U60" s="43">
        <f t="shared" si="22"/>
        <v>-1.8189894035458565E-11</v>
      </c>
      <c r="V60" s="43">
        <f t="shared" si="22"/>
        <v>-1.8189894035458565E-11</v>
      </c>
      <c r="W60" s="43">
        <f t="shared" si="22"/>
        <v>-1.8189894035458565E-11</v>
      </c>
    </row>
    <row r="61" spans="2:23" x14ac:dyDescent="0.25">
      <c r="B61" s="61" t="s">
        <v>103</v>
      </c>
      <c r="C61" s="43">
        <f>E21*D26</f>
        <v>72000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</row>
    <row r="62" spans="2:23" x14ac:dyDescent="0.25">
      <c r="B62" s="61" t="s">
        <v>104</v>
      </c>
      <c r="D62" s="35">
        <f>IF(D53&gt;$D$28,0,-($D$29+D47))</f>
        <v>-4523.4295214987105</v>
      </c>
      <c r="E62" s="35">
        <f t="shared" ref="E62:W62" si="23">IF(E53&gt;$D$28,0,-($D$29+E47))</f>
        <v>-4749.6009975736451</v>
      </c>
      <c r="F62" s="35">
        <f t="shared" si="23"/>
        <v>-4987.0810474523278</v>
      </c>
      <c r="G62" s="35">
        <f t="shared" si="23"/>
        <v>-5236.4350998249447</v>
      </c>
      <c r="H62" s="35">
        <f t="shared" si="23"/>
        <v>-5498.2568548161908</v>
      </c>
      <c r="I62" s="35">
        <f t="shared" si="23"/>
        <v>-5773.1696975570012</v>
      </c>
      <c r="J62" s="35">
        <f t="shared" si="23"/>
        <v>-6061.8281824348505</v>
      </c>
      <c r="K62" s="35">
        <f t="shared" si="23"/>
        <v>-6364.9195915565942</v>
      </c>
      <c r="L62" s="35">
        <f t="shared" si="23"/>
        <v>-6683.1655711344238</v>
      </c>
      <c r="M62" s="35">
        <f t="shared" si="23"/>
        <v>-7017.3238496911445</v>
      </c>
      <c r="N62" s="35">
        <f t="shared" si="23"/>
        <v>-7368.1900421757018</v>
      </c>
      <c r="O62" s="35">
        <f t="shared" si="23"/>
        <v>-7736.5995442844869</v>
      </c>
      <c r="P62" s="35">
        <f t="shared" si="23"/>
        <v>0</v>
      </c>
      <c r="Q62" s="35">
        <f t="shared" si="23"/>
        <v>0</v>
      </c>
      <c r="R62" s="35">
        <f t="shared" si="23"/>
        <v>0</v>
      </c>
      <c r="S62" s="35">
        <f t="shared" si="23"/>
        <v>0</v>
      </c>
      <c r="T62" s="35">
        <f t="shared" si="23"/>
        <v>0</v>
      </c>
      <c r="U62" s="35">
        <f t="shared" si="23"/>
        <v>0</v>
      </c>
      <c r="V62" s="35">
        <f t="shared" si="23"/>
        <v>0</v>
      </c>
      <c r="W62" s="35">
        <f t="shared" si="23"/>
        <v>0</v>
      </c>
    </row>
    <row r="63" spans="2:23" x14ac:dyDescent="0.25">
      <c r="B63" s="46" t="s">
        <v>108</v>
      </c>
      <c r="C63" s="48">
        <f>SUM(C60:C62)</f>
        <v>72000</v>
      </c>
      <c r="D63" s="48">
        <f t="shared" ref="D63:W63" si="24">SUM(D60:D62)</f>
        <v>67476.570478501293</v>
      </c>
      <c r="E63" s="48">
        <f t="shared" si="24"/>
        <v>62726.969480927648</v>
      </c>
      <c r="F63" s="48">
        <f t="shared" si="24"/>
        <v>57739.888433475324</v>
      </c>
      <c r="G63" s="48">
        <f t="shared" si="24"/>
        <v>52503.453333650381</v>
      </c>
      <c r="H63" s="48">
        <f t="shared" si="24"/>
        <v>47005.196478834187</v>
      </c>
      <c r="I63" s="48">
        <f t="shared" si="24"/>
        <v>41232.026781277185</v>
      </c>
      <c r="J63" s="48">
        <f t="shared" si="24"/>
        <v>35170.198598842333</v>
      </c>
      <c r="K63" s="48">
        <f t="shared" si="24"/>
        <v>28805.279007285739</v>
      </c>
      <c r="L63" s="48">
        <f t="shared" si="24"/>
        <v>22122.113436151314</v>
      </c>
      <c r="M63" s="48">
        <f t="shared" si="24"/>
        <v>15104.789586460171</v>
      </c>
      <c r="N63" s="48">
        <f t="shared" si="24"/>
        <v>7736.5995442844687</v>
      </c>
      <c r="O63" s="48">
        <f t="shared" si="24"/>
        <v>-1.8189894035458565E-11</v>
      </c>
      <c r="P63" s="48">
        <f t="shared" si="24"/>
        <v>-1.8189894035458565E-11</v>
      </c>
      <c r="Q63" s="48">
        <f t="shared" si="24"/>
        <v>-1.8189894035458565E-11</v>
      </c>
      <c r="R63" s="48">
        <f t="shared" si="24"/>
        <v>-1.8189894035458565E-11</v>
      </c>
      <c r="S63" s="48">
        <f t="shared" si="24"/>
        <v>-1.8189894035458565E-11</v>
      </c>
      <c r="T63" s="48">
        <f t="shared" si="24"/>
        <v>-1.8189894035458565E-11</v>
      </c>
      <c r="U63" s="48">
        <f t="shared" si="24"/>
        <v>-1.8189894035458565E-11</v>
      </c>
      <c r="V63" s="48">
        <f t="shared" si="24"/>
        <v>-1.8189894035458565E-11</v>
      </c>
      <c r="W63" s="48">
        <f t="shared" si="24"/>
        <v>-1.8189894035458565E-11</v>
      </c>
    </row>
    <row r="64" spans="2:23" x14ac:dyDescent="0.25">
      <c r="B64" s="46" t="s">
        <v>110</v>
      </c>
      <c r="C64" s="48">
        <f>C58-C59-C63</f>
        <v>0</v>
      </c>
      <c r="D64" s="48">
        <f t="shared" ref="D64:W64" si="25">D58-D59-D63</f>
        <v>-12510.870478501296</v>
      </c>
      <c r="E64" s="48">
        <f t="shared" si="25"/>
        <v>-24923.075757002582</v>
      </c>
      <c r="F64" s="48">
        <f t="shared" si="25"/>
        <v>-37237.010496303876</v>
      </c>
      <c r="G64" s="48">
        <f t="shared" si="25"/>
        <v>-49453.067778561963</v>
      </c>
      <c r="H64" s="48">
        <f t="shared" si="25"/>
        <v>-61571.639113605022</v>
      </c>
      <c r="I64" s="48">
        <f t="shared" si="25"/>
        <v>-73593.114445221901</v>
      </c>
      <c r="J64" s="48">
        <f t="shared" si="25"/>
        <v>-85517.882157426357</v>
      </c>
      <c r="K64" s="48">
        <f t="shared" si="25"/>
        <v>-97346.329080695985</v>
      </c>
      <c r="L64" s="48">
        <f t="shared" si="25"/>
        <v>-109078.84049818652</v>
      </c>
      <c r="M64" s="48">
        <f t="shared" si="25"/>
        <v>-120715.80015192112</v>
      </c>
      <c r="N64" s="48">
        <f t="shared" si="25"/>
        <v>-132257.59024895477</v>
      </c>
      <c r="O64" s="48">
        <f t="shared" si="25"/>
        <v>-143704.59146751431</v>
      </c>
      <c r="P64" s="48">
        <f t="shared" si="25"/>
        <v>-163180.61248461233</v>
      </c>
      <c r="Q64" s="48">
        <f t="shared" si="25"/>
        <v>-182562.60141764194</v>
      </c>
      <c r="R64" s="48">
        <f t="shared" si="25"/>
        <v>-201850.93439493942</v>
      </c>
      <c r="S64" s="48">
        <f t="shared" si="25"/>
        <v>-221045.98604032773</v>
      </c>
      <c r="T64" s="48">
        <f t="shared" si="25"/>
        <v>-240148.12947913448</v>
      </c>
      <c r="U64" s="48">
        <f t="shared" si="25"/>
        <v>-259157.73634418604</v>
      </c>
      <c r="V64" s="48">
        <f t="shared" si="25"/>
        <v>-278075.17678177741</v>
      </c>
      <c r="W64" s="48">
        <f t="shared" si="25"/>
        <v>-296900.81945761835</v>
      </c>
    </row>
    <row r="65" spans="2:23" x14ac:dyDescent="0.25">
      <c r="B65" s="49" t="s">
        <v>111</v>
      </c>
      <c r="C65" s="51">
        <f>C63+C64</f>
        <v>72000</v>
      </c>
      <c r="D65" s="51">
        <f t="shared" ref="D65:W65" si="26">D63+D64</f>
        <v>54965.7</v>
      </c>
      <c r="E65" s="51">
        <f t="shared" si="26"/>
        <v>37803.893723925066</v>
      </c>
      <c r="F65" s="51">
        <f t="shared" si="26"/>
        <v>20502.877937171448</v>
      </c>
      <c r="G65" s="51">
        <f t="shared" si="26"/>
        <v>3050.3855550884182</v>
      </c>
      <c r="H65" s="51">
        <f t="shared" si="26"/>
        <v>-14566.442634770836</v>
      </c>
      <c r="I65" s="51">
        <f t="shared" si="26"/>
        <v>-32361.087663944716</v>
      </c>
      <c r="J65" s="51">
        <f t="shared" si="26"/>
        <v>-50347.683558584024</v>
      </c>
      <c r="K65" s="51">
        <f t="shared" si="26"/>
        <v>-68541.050073410239</v>
      </c>
      <c r="L65" s="51">
        <f t="shared" si="26"/>
        <v>-86956.727062035206</v>
      </c>
      <c r="M65" s="51">
        <f t="shared" si="26"/>
        <v>-105611.01056546095</v>
      </c>
      <c r="N65" s="51">
        <f t="shared" si="26"/>
        <v>-124520.9907046703</v>
      </c>
      <c r="O65" s="51">
        <f t="shared" si="26"/>
        <v>-143704.59146751434</v>
      </c>
      <c r="P65" s="51">
        <f t="shared" si="26"/>
        <v>-163180.61248461236</v>
      </c>
      <c r="Q65" s="51">
        <f t="shared" si="26"/>
        <v>-182562.60141764197</v>
      </c>
      <c r="R65" s="51">
        <f t="shared" si="26"/>
        <v>-201850.93439493945</v>
      </c>
      <c r="S65" s="51">
        <f t="shared" si="26"/>
        <v>-221045.98604032776</v>
      </c>
      <c r="T65" s="51">
        <f t="shared" si="26"/>
        <v>-240148.12947913451</v>
      </c>
      <c r="U65" s="51">
        <f t="shared" si="26"/>
        <v>-259157.73634418607</v>
      </c>
      <c r="V65" s="51">
        <f t="shared" si="26"/>
        <v>-278075.17678177741</v>
      </c>
      <c r="W65" s="51">
        <f t="shared" si="26"/>
        <v>-296900.81945761835</v>
      </c>
    </row>
    <row r="66" spans="2:23" x14ac:dyDescent="0.25">
      <c r="B66" s="49" t="s">
        <v>112</v>
      </c>
      <c r="C66" s="51">
        <f>C59+C65</f>
        <v>144000</v>
      </c>
      <c r="D66" s="51">
        <f t="shared" ref="D66:W66" si="27">D59+D65</f>
        <v>136800</v>
      </c>
      <c r="E66" s="51">
        <f t="shared" si="27"/>
        <v>129600</v>
      </c>
      <c r="F66" s="51">
        <f t="shared" si="27"/>
        <v>122400</v>
      </c>
      <c r="G66" s="51">
        <f t="shared" si="27"/>
        <v>115200</v>
      </c>
      <c r="H66" s="51">
        <f t="shared" si="27"/>
        <v>108000</v>
      </c>
      <c r="I66" s="51">
        <f t="shared" si="27"/>
        <v>100800</v>
      </c>
      <c r="J66" s="51">
        <f t="shared" si="27"/>
        <v>93600</v>
      </c>
      <c r="K66" s="51">
        <f t="shared" si="27"/>
        <v>86400</v>
      </c>
      <c r="L66" s="51">
        <f t="shared" si="27"/>
        <v>79200</v>
      </c>
      <c r="M66" s="51">
        <f t="shared" si="27"/>
        <v>72000</v>
      </c>
      <c r="N66" s="51">
        <f t="shared" si="27"/>
        <v>64800.000000000015</v>
      </c>
      <c r="O66" s="51">
        <f t="shared" si="27"/>
        <v>57600</v>
      </c>
      <c r="P66" s="51">
        <f t="shared" si="27"/>
        <v>50400</v>
      </c>
      <c r="Q66" s="51">
        <f t="shared" si="27"/>
        <v>43200</v>
      </c>
      <c r="R66" s="51">
        <f t="shared" si="27"/>
        <v>36000</v>
      </c>
      <c r="S66" s="51">
        <f t="shared" si="27"/>
        <v>28800</v>
      </c>
      <c r="T66" s="51">
        <f t="shared" si="27"/>
        <v>21600</v>
      </c>
      <c r="U66" s="51">
        <f t="shared" si="27"/>
        <v>14400</v>
      </c>
      <c r="V66" s="51">
        <f t="shared" si="27"/>
        <v>7200</v>
      </c>
      <c r="W66" s="51">
        <f t="shared" si="27"/>
        <v>0</v>
      </c>
    </row>
    <row r="67" spans="2:23" s="66" customFormat="1" ht="12" x14ac:dyDescent="0.3">
      <c r="B67" s="67" t="s">
        <v>114</v>
      </c>
      <c r="C67" s="68">
        <f>C66-C58</f>
        <v>0</v>
      </c>
      <c r="D67" s="68">
        <f t="shared" ref="D67:W67" si="28">D66-D58</f>
        <v>0</v>
      </c>
      <c r="E67" s="68">
        <f t="shared" si="28"/>
        <v>0</v>
      </c>
      <c r="F67" s="68">
        <f t="shared" si="28"/>
        <v>0</v>
      </c>
      <c r="G67" s="68">
        <f t="shared" si="28"/>
        <v>0</v>
      </c>
      <c r="H67" s="68">
        <f t="shared" si="28"/>
        <v>0</v>
      </c>
      <c r="I67" s="68">
        <f t="shared" si="28"/>
        <v>0</v>
      </c>
      <c r="J67" s="68">
        <f t="shared" si="28"/>
        <v>0</v>
      </c>
      <c r="K67" s="68">
        <f t="shared" si="28"/>
        <v>0</v>
      </c>
      <c r="L67" s="68">
        <f t="shared" si="28"/>
        <v>0</v>
      </c>
      <c r="M67" s="68">
        <f t="shared" si="28"/>
        <v>0</v>
      </c>
      <c r="N67" s="68">
        <f t="shared" si="28"/>
        <v>0</v>
      </c>
      <c r="O67" s="68">
        <f t="shared" si="28"/>
        <v>0</v>
      </c>
      <c r="P67" s="68">
        <f t="shared" si="28"/>
        <v>0</v>
      </c>
      <c r="Q67" s="68">
        <f t="shared" si="28"/>
        <v>0</v>
      </c>
      <c r="R67" s="68">
        <f t="shared" si="28"/>
        <v>0</v>
      </c>
      <c r="S67" s="68">
        <f t="shared" si="28"/>
        <v>0</v>
      </c>
      <c r="T67" s="68">
        <f t="shared" si="28"/>
        <v>0</v>
      </c>
      <c r="U67" s="68">
        <f t="shared" si="28"/>
        <v>0</v>
      </c>
      <c r="V67" s="68">
        <f t="shared" si="28"/>
        <v>0</v>
      </c>
      <c r="W67" s="68">
        <f t="shared" si="28"/>
        <v>0</v>
      </c>
    </row>
    <row r="69" spans="2:23" x14ac:dyDescent="0.25">
      <c r="B69" s="54" t="s">
        <v>68</v>
      </c>
      <c r="C69" s="55">
        <v>0</v>
      </c>
      <c r="D69" s="55">
        <v>1</v>
      </c>
      <c r="E69" s="55">
        <v>2</v>
      </c>
      <c r="F69" s="55">
        <v>3</v>
      </c>
      <c r="G69" s="55">
        <v>4</v>
      </c>
      <c r="H69" s="55">
        <v>5</v>
      </c>
      <c r="I69" s="55">
        <v>6</v>
      </c>
      <c r="J69" s="55">
        <v>7</v>
      </c>
      <c r="K69" s="55">
        <v>8</v>
      </c>
      <c r="L69" s="55">
        <v>9</v>
      </c>
      <c r="M69" s="55">
        <v>10</v>
      </c>
      <c r="N69" s="55">
        <v>11</v>
      </c>
      <c r="O69" s="55">
        <v>12</v>
      </c>
      <c r="P69" s="55">
        <v>13</v>
      </c>
      <c r="Q69" s="55">
        <v>14</v>
      </c>
      <c r="R69" s="55">
        <v>15</v>
      </c>
      <c r="S69" s="55">
        <v>16</v>
      </c>
      <c r="T69" s="55">
        <v>17</v>
      </c>
      <c r="U69" s="55">
        <v>18</v>
      </c>
      <c r="V69" s="55">
        <v>19</v>
      </c>
      <c r="W69" s="55">
        <v>20</v>
      </c>
    </row>
    <row r="70" spans="2:23" x14ac:dyDescent="0.25">
      <c r="B70" s="32" t="s">
        <v>36</v>
      </c>
      <c r="D70" s="35">
        <f t="shared" ref="D70:W70" si="29">D44</f>
        <v>22717.5</v>
      </c>
      <c r="E70" s="35">
        <f t="shared" si="29"/>
        <v>22593.03</v>
      </c>
      <c r="F70" s="35">
        <f t="shared" si="29"/>
        <v>22469.05788</v>
      </c>
      <c r="G70" s="35">
        <f t="shared" si="29"/>
        <v>22345.581648479994</v>
      </c>
      <c r="H70" s="35">
        <f t="shared" si="29"/>
        <v>22222.599321886075</v>
      </c>
      <c r="I70" s="35">
        <f t="shared" si="29"/>
        <v>22100.108924598535</v>
      </c>
      <c r="J70" s="35">
        <f t="shared" si="29"/>
        <v>21978.108488900143</v>
      </c>
      <c r="K70" s="35">
        <f t="shared" si="29"/>
        <v>21856.596054944544</v>
      </c>
      <c r="L70" s="35">
        <f t="shared" si="29"/>
        <v>21735.569670724763</v>
      </c>
      <c r="M70" s="35">
        <f t="shared" si="29"/>
        <v>21615.027392041869</v>
      </c>
      <c r="N70" s="35">
        <f t="shared" si="29"/>
        <v>21494.967282473699</v>
      </c>
      <c r="O70" s="35">
        <f t="shared" si="29"/>
        <v>21375.387413343808</v>
      </c>
      <c r="P70" s="35">
        <f t="shared" si="29"/>
        <v>21256.285863690435</v>
      </c>
      <c r="Q70" s="35">
        <f t="shared" si="29"/>
        <v>21137.660720235661</v>
      </c>
      <c r="R70" s="35">
        <f t="shared" si="29"/>
        <v>21019.510077354716</v>
      </c>
      <c r="S70" s="35">
        <f t="shared" si="29"/>
        <v>20901.8320370453</v>
      </c>
      <c r="T70" s="35">
        <f t="shared" si="29"/>
        <v>20784.624708897121</v>
      </c>
      <c r="U70" s="35">
        <f t="shared" si="29"/>
        <v>20667.886210061537</v>
      </c>
      <c r="V70" s="35">
        <f t="shared" si="29"/>
        <v>20551.614665221285</v>
      </c>
      <c r="W70" s="35">
        <f t="shared" si="29"/>
        <v>20435.808206560396</v>
      </c>
    </row>
    <row r="71" spans="2:23" x14ac:dyDescent="0.25">
      <c r="B71" s="32" t="s">
        <v>41</v>
      </c>
      <c r="D71" s="35">
        <f>D49</f>
        <v>-2083.1999999999998</v>
      </c>
      <c r="E71" s="35">
        <f t="shared" ref="E71:W71" si="30">E49</f>
        <v>-2057.3951999999999</v>
      </c>
      <c r="F71" s="35">
        <f t="shared" si="30"/>
        <v>-2031.6936191999998</v>
      </c>
      <c r="G71" s="35">
        <f t="shared" si="30"/>
        <v>-2006.0948447231997</v>
      </c>
      <c r="H71" s="35">
        <f t="shared" si="30"/>
        <v>-1980.598465344307</v>
      </c>
      <c r="I71" s="35">
        <f t="shared" si="30"/>
        <v>-1955.20407148293</v>
      </c>
      <c r="J71" s="35">
        <f t="shared" si="30"/>
        <v>-1929.911255196999</v>
      </c>
      <c r="K71" s="35">
        <f t="shared" si="30"/>
        <v>-1904.7196101762111</v>
      </c>
      <c r="L71" s="35">
        <f t="shared" si="30"/>
        <v>-1879.6287317355061</v>
      </c>
      <c r="M71" s="35">
        <f t="shared" si="30"/>
        <v>-1854.638216808564</v>
      </c>
      <c r="N71" s="35">
        <f t="shared" si="30"/>
        <v>-1829.7476639413294</v>
      </c>
      <c r="O71" s="35">
        <f t="shared" si="30"/>
        <v>-1804.956673285564</v>
      </c>
      <c r="P71" s="35">
        <f t="shared" si="30"/>
        <v>-1780.2648465924219</v>
      </c>
      <c r="Q71" s="35">
        <f t="shared" si="30"/>
        <v>-1755.6717872060526</v>
      </c>
      <c r="R71" s="35">
        <f t="shared" si="30"/>
        <v>-1731.1771000572278</v>
      </c>
      <c r="S71" s="35">
        <f t="shared" si="30"/>
        <v>-1706.7803916569987</v>
      </c>
      <c r="T71" s="35">
        <f t="shared" si="30"/>
        <v>-1682.481270090371</v>
      </c>
      <c r="U71" s="35">
        <f t="shared" si="30"/>
        <v>-1658.27934501001</v>
      </c>
      <c r="V71" s="35">
        <f t="shared" si="30"/>
        <v>-1634.1742276299694</v>
      </c>
      <c r="W71" s="35">
        <f t="shared" si="30"/>
        <v>-1610.1655307194492</v>
      </c>
    </row>
    <row r="72" spans="2:23" x14ac:dyDescent="0.25">
      <c r="B72" s="32" t="s">
        <v>45</v>
      </c>
      <c r="C72" s="35">
        <f>-E21</f>
        <v>-144000</v>
      </c>
    </row>
    <row r="73" spans="2:23" x14ac:dyDescent="0.25">
      <c r="B73" s="49" t="s">
        <v>115</v>
      </c>
      <c r="C73" s="51">
        <f t="shared" ref="C73" si="31">SUM(C70:C72)</f>
        <v>-144000</v>
      </c>
      <c r="D73" s="51">
        <f>SUM(D70:D72)</f>
        <v>20634.3</v>
      </c>
      <c r="E73" s="51">
        <f t="shared" ref="E73:W73" si="32">SUM(E70:E72)</f>
        <v>20535.6348</v>
      </c>
      <c r="F73" s="51">
        <f t="shared" si="32"/>
        <v>20437.364260800001</v>
      </c>
      <c r="G73" s="51">
        <f t="shared" si="32"/>
        <v>20339.486803756794</v>
      </c>
      <c r="H73" s="51">
        <f t="shared" si="32"/>
        <v>20242.000856541767</v>
      </c>
      <c r="I73" s="51">
        <f t="shared" si="32"/>
        <v>20144.904853115604</v>
      </c>
      <c r="J73" s="51">
        <f t="shared" si="32"/>
        <v>20048.197233703144</v>
      </c>
      <c r="K73" s="51">
        <f t="shared" si="32"/>
        <v>19951.876444768335</v>
      </c>
      <c r="L73" s="51">
        <f t="shared" si="32"/>
        <v>19855.940938989257</v>
      </c>
      <c r="M73" s="51">
        <f t="shared" si="32"/>
        <v>19760.389175233304</v>
      </c>
      <c r="N73" s="51">
        <f t="shared" si="32"/>
        <v>19665.21961853237</v>
      </c>
      <c r="O73" s="51">
        <f t="shared" si="32"/>
        <v>19570.430740058244</v>
      </c>
      <c r="P73" s="51">
        <f t="shared" si="32"/>
        <v>19476.021017098014</v>
      </c>
      <c r="Q73" s="51">
        <f t="shared" si="32"/>
        <v>19381.988933029606</v>
      </c>
      <c r="R73" s="51">
        <f t="shared" si="32"/>
        <v>19288.33297729749</v>
      </c>
      <c r="S73" s="51">
        <f t="shared" si="32"/>
        <v>19195.051645388303</v>
      </c>
      <c r="T73" s="51">
        <f t="shared" si="32"/>
        <v>19102.14343880675</v>
      </c>
      <c r="U73" s="51">
        <f t="shared" si="32"/>
        <v>19009.606865051526</v>
      </c>
      <c r="V73" s="51">
        <f t="shared" si="32"/>
        <v>18917.440437591315</v>
      </c>
      <c r="W73" s="51">
        <f t="shared" si="32"/>
        <v>18825.642675840947</v>
      </c>
    </row>
    <row r="74" spans="2:23" x14ac:dyDescent="0.25">
      <c r="B74" s="64" t="s">
        <v>116</v>
      </c>
      <c r="C74" s="65">
        <f>C61</f>
        <v>72000</v>
      </c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</row>
    <row r="75" spans="2:23" x14ac:dyDescent="0.25">
      <c r="B75" s="64" t="s">
        <v>117</v>
      </c>
      <c r="C75" s="63"/>
      <c r="D75" s="65">
        <f>D62</f>
        <v>-4523.4295214987105</v>
      </c>
      <c r="E75" s="65">
        <f t="shared" ref="E75:W75" si="33">E62</f>
        <v>-4749.6009975736451</v>
      </c>
      <c r="F75" s="65">
        <f t="shared" si="33"/>
        <v>-4987.0810474523278</v>
      </c>
      <c r="G75" s="65">
        <f t="shared" si="33"/>
        <v>-5236.4350998249447</v>
      </c>
      <c r="H75" s="65">
        <f t="shared" si="33"/>
        <v>-5498.2568548161908</v>
      </c>
      <c r="I75" s="65">
        <f t="shared" si="33"/>
        <v>-5773.1696975570012</v>
      </c>
      <c r="J75" s="65">
        <f t="shared" si="33"/>
        <v>-6061.8281824348505</v>
      </c>
      <c r="K75" s="65">
        <f t="shared" si="33"/>
        <v>-6364.9195915565942</v>
      </c>
      <c r="L75" s="65">
        <f t="shared" si="33"/>
        <v>-6683.1655711344238</v>
      </c>
      <c r="M75" s="65">
        <f t="shared" si="33"/>
        <v>-7017.3238496911445</v>
      </c>
      <c r="N75" s="65">
        <f t="shared" si="33"/>
        <v>-7368.1900421757018</v>
      </c>
      <c r="O75" s="65">
        <f t="shared" si="33"/>
        <v>-7736.5995442844869</v>
      </c>
      <c r="P75" s="65">
        <f t="shared" si="33"/>
        <v>0</v>
      </c>
      <c r="Q75" s="65">
        <f t="shared" si="33"/>
        <v>0</v>
      </c>
      <c r="R75" s="65">
        <f t="shared" si="33"/>
        <v>0</v>
      </c>
      <c r="S75" s="65">
        <f t="shared" si="33"/>
        <v>0</v>
      </c>
      <c r="T75" s="65">
        <f t="shared" si="33"/>
        <v>0</v>
      </c>
      <c r="U75" s="65">
        <f t="shared" si="33"/>
        <v>0</v>
      </c>
      <c r="V75" s="65">
        <f t="shared" si="33"/>
        <v>0</v>
      </c>
      <c r="W75" s="65">
        <f t="shared" si="33"/>
        <v>0</v>
      </c>
    </row>
    <row r="76" spans="2:23" x14ac:dyDescent="0.25">
      <c r="B76" s="64" t="s">
        <v>109</v>
      </c>
      <c r="C76" s="63"/>
      <c r="D76" s="65">
        <f>D47</f>
        <v>-3600</v>
      </c>
      <c r="E76" s="65">
        <f t="shared" ref="E76:W76" si="34">E47</f>
        <v>-3373.8285239250649</v>
      </c>
      <c r="F76" s="65">
        <f t="shared" si="34"/>
        <v>-3136.3484740463828</v>
      </c>
      <c r="G76" s="65">
        <f t="shared" si="34"/>
        <v>-2886.9944216737663</v>
      </c>
      <c r="H76" s="65">
        <f t="shared" si="34"/>
        <v>-2625.1726666825193</v>
      </c>
      <c r="I76" s="65">
        <f t="shared" si="34"/>
        <v>-2350.2598239417093</v>
      </c>
      <c r="J76" s="65">
        <f t="shared" si="34"/>
        <v>-2061.6013390638595</v>
      </c>
      <c r="K76" s="65">
        <f t="shared" si="34"/>
        <v>-1758.5099299421167</v>
      </c>
      <c r="L76" s="65">
        <f t="shared" si="34"/>
        <v>-1440.263950364287</v>
      </c>
      <c r="M76" s="65">
        <f t="shared" si="34"/>
        <v>-1106.1056718075658</v>
      </c>
      <c r="N76" s="65">
        <f t="shared" si="34"/>
        <v>-755.2394793230086</v>
      </c>
      <c r="O76" s="65">
        <f t="shared" si="34"/>
        <v>-386.82997721422345</v>
      </c>
      <c r="P76" s="65">
        <f t="shared" si="34"/>
        <v>0</v>
      </c>
      <c r="Q76" s="65">
        <f t="shared" si="34"/>
        <v>0</v>
      </c>
      <c r="R76" s="65">
        <f t="shared" si="34"/>
        <v>0</v>
      </c>
      <c r="S76" s="65">
        <f t="shared" si="34"/>
        <v>0</v>
      </c>
      <c r="T76" s="65">
        <f t="shared" si="34"/>
        <v>0</v>
      </c>
      <c r="U76" s="65">
        <f t="shared" si="34"/>
        <v>0</v>
      </c>
      <c r="V76" s="65">
        <f t="shared" si="34"/>
        <v>0</v>
      </c>
      <c r="W76" s="65">
        <f t="shared" si="34"/>
        <v>0</v>
      </c>
    </row>
    <row r="77" spans="2:23" x14ac:dyDescent="0.25">
      <c r="B77" s="32" t="s">
        <v>118</v>
      </c>
      <c r="C77" s="35">
        <f>C59</f>
        <v>72000</v>
      </c>
      <c r="H77" s="29"/>
    </row>
    <row r="78" spans="2:23" x14ac:dyDescent="0.25">
      <c r="B78" s="49" t="s">
        <v>119</v>
      </c>
      <c r="C78" s="51">
        <f>C73+SUM(C74:C77)</f>
        <v>0</v>
      </c>
      <c r="D78" s="51">
        <f t="shared" ref="D78:W78" si="35">D73+SUM(D74:D77)</f>
        <v>12510.870478501289</v>
      </c>
      <c r="E78" s="51">
        <f t="shared" si="35"/>
        <v>12412.205278501289</v>
      </c>
      <c r="F78" s="51">
        <f t="shared" si="35"/>
        <v>12313.93473930129</v>
      </c>
      <c r="G78" s="51">
        <f t="shared" si="35"/>
        <v>12216.057282258083</v>
      </c>
      <c r="H78" s="51">
        <f t="shared" si="35"/>
        <v>12118.571335043056</v>
      </c>
      <c r="I78" s="51">
        <f t="shared" si="35"/>
        <v>12021.475331616894</v>
      </c>
      <c r="J78" s="51">
        <f t="shared" si="35"/>
        <v>11924.767712204433</v>
      </c>
      <c r="K78" s="51">
        <f t="shared" si="35"/>
        <v>11828.446923269625</v>
      </c>
      <c r="L78" s="51">
        <f t="shared" si="35"/>
        <v>11732.511417490547</v>
      </c>
      <c r="M78" s="51">
        <f t="shared" si="35"/>
        <v>11636.959653734593</v>
      </c>
      <c r="N78" s="51">
        <f t="shared" si="35"/>
        <v>11541.79009703366</v>
      </c>
      <c r="O78" s="51">
        <f t="shared" si="35"/>
        <v>11447.001218559533</v>
      </c>
      <c r="P78" s="51">
        <f t="shared" si="35"/>
        <v>19476.021017098014</v>
      </c>
      <c r="Q78" s="51">
        <f t="shared" si="35"/>
        <v>19381.988933029606</v>
      </c>
      <c r="R78" s="51">
        <f t="shared" si="35"/>
        <v>19288.33297729749</v>
      </c>
      <c r="S78" s="51">
        <f t="shared" si="35"/>
        <v>19195.051645388303</v>
      </c>
      <c r="T78" s="51">
        <f t="shared" si="35"/>
        <v>19102.14343880675</v>
      </c>
      <c r="U78" s="51">
        <f t="shared" si="35"/>
        <v>19009.606865051526</v>
      </c>
      <c r="V78" s="51">
        <f t="shared" si="35"/>
        <v>18917.440437591315</v>
      </c>
      <c r="W78" s="51">
        <f t="shared" si="35"/>
        <v>18825.642675840947</v>
      </c>
    </row>
    <row r="79" spans="2:23" ht="12" x14ac:dyDescent="0.3">
      <c r="B79" s="66" t="s">
        <v>114</v>
      </c>
      <c r="C79" s="35"/>
      <c r="D79" s="69">
        <f>D64-C64+D78</f>
        <v>0</v>
      </c>
      <c r="E79" s="69">
        <f t="shared" ref="E79:W79" si="36">E64-D64+E78</f>
        <v>0</v>
      </c>
      <c r="F79" s="69">
        <f t="shared" si="36"/>
        <v>0</v>
      </c>
      <c r="G79" s="69">
        <f t="shared" si="36"/>
        <v>0</v>
      </c>
      <c r="H79" s="69">
        <f t="shared" si="36"/>
        <v>0</v>
      </c>
      <c r="I79" s="69">
        <f t="shared" si="36"/>
        <v>1.4551915228366852E-11</v>
      </c>
      <c r="J79" s="69">
        <f t="shared" si="36"/>
        <v>-2.1827872842550278E-11</v>
      </c>
      <c r="K79" s="69">
        <f t="shared" si="36"/>
        <v>0</v>
      </c>
      <c r="L79" s="69">
        <f t="shared" si="36"/>
        <v>1.4551915228366852E-11</v>
      </c>
      <c r="M79" s="69">
        <f t="shared" si="36"/>
        <v>-1.4551915228366852E-11</v>
      </c>
      <c r="N79" s="69">
        <f t="shared" si="36"/>
        <v>0</v>
      </c>
      <c r="O79" s="69">
        <f t="shared" si="36"/>
        <v>0</v>
      </c>
      <c r="P79" s="69">
        <f t="shared" si="36"/>
        <v>0</v>
      </c>
      <c r="Q79" s="69">
        <f t="shared" si="36"/>
        <v>0</v>
      </c>
      <c r="R79" s="69">
        <f t="shared" si="36"/>
        <v>0</v>
      </c>
      <c r="S79" s="69">
        <f t="shared" si="36"/>
        <v>0</v>
      </c>
      <c r="T79" s="69">
        <f t="shared" si="36"/>
        <v>0</v>
      </c>
      <c r="U79" s="69">
        <f t="shared" si="36"/>
        <v>0</v>
      </c>
      <c r="V79" s="69">
        <f t="shared" si="36"/>
        <v>-5.8207660913467407E-11</v>
      </c>
      <c r="W79" s="69">
        <f t="shared" si="36"/>
        <v>0</v>
      </c>
    </row>
    <row r="80" spans="2:23" ht="12" x14ac:dyDescent="0.3">
      <c r="B80" s="29" t="s">
        <v>120</v>
      </c>
      <c r="C80" s="35">
        <f>C78-C77</f>
        <v>-72000</v>
      </c>
      <c r="D80" s="69">
        <f>D78</f>
        <v>12510.870478501289</v>
      </c>
      <c r="E80" s="69">
        <f t="shared" ref="E80:W80" si="37">E78</f>
        <v>12412.205278501289</v>
      </c>
      <c r="F80" s="69">
        <f t="shared" si="37"/>
        <v>12313.93473930129</v>
      </c>
      <c r="G80" s="69">
        <f t="shared" si="37"/>
        <v>12216.057282258083</v>
      </c>
      <c r="H80" s="69">
        <f t="shared" si="37"/>
        <v>12118.571335043056</v>
      </c>
      <c r="I80" s="69">
        <f t="shared" si="37"/>
        <v>12021.475331616894</v>
      </c>
      <c r="J80" s="69">
        <f t="shared" si="37"/>
        <v>11924.767712204433</v>
      </c>
      <c r="K80" s="69">
        <f t="shared" si="37"/>
        <v>11828.446923269625</v>
      </c>
      <c r="L80" s="69">
        <f t="shared" si="37"/>
        <v>11732.511417490547</v>
      </c>
      <c r="M80" s="69">
        <f t="shared" si="37"/>
        <v>11636.959653734593</v>
      </c>
      <c r="N80" s="69">
        <f t="shared" si="37"/>
        <v>11541.79009703366</v>
      </c>
      <c r="O80" s="69">
        <f t="shared" si="37"/>
        <v>11447.001218559533</v>
      </c>
      <c r="P80" s="69">
        <f t="shared" si="37"/>
        <v>19476.021017098014</v>
      </c>
      <c r="Q80" s="69">
        <f t="shared" si="37"/>
        <v>19381.988933029606</v>
      </c>
      <c r="R80" s="69">
        <f t="shared" si="37"/>
        <v>19288.33297729749</v>
      </c>
      <c r="S80" s="69">
        <f t="shared" si="37"/>
        <v>19195.051645388303</v>
      </c>
      <c r="T80" s="69">
        <f t="shared" si="37"/>
        <v>19102.14343880675</v>
      </c>
      <c r="U80" s="69">
        <f t="shared" si="37"/>
        <v>19009.606865051526</v>
      </c>
      <c r="V80" s="69">
        <f t="shared" si="37"/>
        <v>18917.440437591315</v>
      </c>
      <c r="W80" s="69">
        <f t="shared" si="37"/>
        <v>18825.642675840947</v>
      </c>
    </row>
    <row r="81" spans="2:23" x14ac:dyDescent="0.25">
      <c r="B81" s="49" t="s">
        <v>121</v>
      </c>
      <c r="C81" s="51">
        <f>C80</f>
        <v>-72000</v>
      </c>
      <c r="D81" s="51">
        <f>C81+D80</f>
        <v>-59489.129521498711</v>
      </c>
      <c r="E81" s="51">
        <f t="shared" ref="E81:W81" si="38">D81+E80</f>
        <v>-47076.924242997426</v>
      </c>
      <c r="F81" s="51">
        <f t="shared" si="38"/>
        <v>-34762.989503696139</v>
      </c>
      <c r="G81" s="51">
        <f t="shared" si="38"/>
        <v>-22546.932221438055</v>
      </c>
      <c r="H81" s="51">
        <f t="shared" si="38"/>
        <v>-10428.360886394999</v>
      </c>
      <c r="I81" s="51">
        <f t="shared" si="38"/>
        <v>1593.1144452218941</v>
      </c>
      <c r="J81" s="51">
        <f t="shared" si="38"/>
        <v>13517.882157426327</v>
      </c>
      <c r="K81" s="51">
        <f t="shared" si="38"/>
        <v>25346.329080695952</v>
      </c>
      <c r="L81" s="51">
        <f t="shared" si="38"/>
        <v>37078.840498186502</v>
      </c>
      <c r="M81" s="51">
        <f t="shared" si="38"/>
        <v>48715.800151921096</v>
      </c>
      <c r="N81" s="51">
        <f t="shared" si="38"/>
        <v>60257.590248954759</v>
      </c>
      <c r="O81" s="51">
        <f t="shared" si="38"/>
        <v>71704.591467514285</v>
      </c>
      <c r="P81" s="51">
        <f t="shared" si="38"/>
        <v>91180.612484612298</v>
      </c>
      <c r="Q81" s="51">
        <f t="shared" si="38"/>
        <v>110562.60141764191</v>
      </c>
      <c r="R81" s="51">
        <f t="shared" si="38"/>
        <v>129850.9343949394</v>
      </c>
      <c r="S81" s="51">
        <f t="shared" si="38"/>
        <v>149045.9860403277</v>
      </c>
      <c r="T81" s="51">
        <f t="shared" si="38"/>
        <v>168148.12947913446</v>
      </c>
      <c r="U81" s="51">
        <f t="shared" si="38"/>
        <v>187157.73634418598</v>
      </c>
      <c r="V81" s="51">
        <f t="shared" si="38"/>
        <v>206075.17678177729</v>
      </c>
      <c r="W81" s="51">
        <f t="shared" si="38"/>
        <v>224900.81945761823</v>
      </c>
    </row>
    <row r="82" spans="2:23" x14ac:dyDescent="0.25">
      <c r="C82" s="28">
        <f>IF(AND(C81&lt;0,D81&gt;0),C69+0.5,0)</f>
        <v>0</v>
      </c>
      <c r="D82" s="28">
        <f t="shared" ref="D82:W82" si="39">IF(AND(D81&lt;0,E81&gt;0),D69+0.5,0)</f>
        <v>0</v>
      </c>
      <c r="E82" s="28">
        <f t="shared" si="39"/>
        <v>0</v>
      </c>
      <c r="F82" s="28">
        <f t="shared" si="39"/>
        <v>0</v>
      </c>
      <c r="G82" s="28">
        <f t="shared" si="39"/>
        <v>0</v>
      </c>
      <c r="H82" s="28">
        <f t="shared" si="39"/>
        <v>5.5</v>
      </c>
      <c r="I82" s="28">
        <f t="shared" si="39"/>
        <v>0</v>
      </c>
      <c r="J82" s="28">
        <f t="shared" si="39"/>
        <v>0</v>
      </c>
      <c r="K82" s="28">
        <f t="shared" si="39"/>
        <v>0</v>
      </c>
      <c r="L82" s="28">
        <f t="shared" si="39"/>
        <v>0</v>
      </c>
      <c r="M82" s="28">
        <f t="shared" si="39"/>
        <v>0</v>
      </c>
      <c r="N82" s="28">
        <f t="shared" si="39"/>
        <v>0</v>
      </c>
      <c r="O82" s="28">
        <f t="shared" si="39"/>
        <v>0</v>
      </c>
      <c r="P82" s="28">
        <f t="shared" si="39"/>
        <v>0</v>
      </c>
      <c r="Q82" s="28">
        <f t="shared" si="39"/>
        <v>0</v>
      </c>
      <c r="R82" s="28">
        <f t="shared" si="39"/>
        <v>0</v>
      </c>
      <c r="S82" s="28">
        <f t="shared" si="39"/>
        <v>0</v>
      </c>
      <c r="T82" s="28">
        <f t="shared" si="39"/>
        <v>0</v>
      </c>
      <c r="U82" s="28">
        <f t="shared" si="39"/>
        <v>0</v>
      </c>
      <c r="V82" s="28">
        <f t="shared" si="39"/>
        <v>0</v>
      </c>
      <c r="W82" s="28">
        <f t="shared" si="39"/>
        <v>0</v>
      </c>
    </row>
    <row r="83" spans="2:23" x14ac:dyDescent="0.25">
      <c r="B83" s="54" t="s">
        <v>127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</row>
    <row r="85" spans="2:23" x14ac:dyDescent="0.25">
      <c r="B85" s="27" t="s">
        <v>47</v>
      </c>
      <c r="C85" s="52">
        <f>SUM(C82:W82)</f>
        <v>5.5</v>
      </c>
    </row>
    <row r="86" spans="2:23" x14ac:dyDescent="0.25">
      <c r="B86" s="27" t="s">
        <v>48</v>
      </c>
      <c r="C86" s="59">
        <f>IRR(C73:W73)</f>
        <v>0.12647082927004338</v>
      </c>
    </row>
    <row r="87" spans="2:23" x14ac:dyDescent="0.25">
      <c r="B87" s="27" t="s">
        <v>122</v>
      </c>
      <c r="C87" s="53">
        <f>IRR(C80:W80)</f>
        <v>0.17220254842655924</v>
      </c>
    </row>
    <row r="89" spans="2:23" x14ac:dyDescent="0.25">
      <c r="B89" s="27" t="s">
        <v>51</v>
      </c>
      <c r="C89" s="43">
        <f>C77/D9</f>
        <v>400</v>
      </c>
      <c r="D89" s="29" t="s">
        <v>52</v>
      </c>
    </row>
    <row r="90" spans="2:23" x14ac:dyDescent="0.25">
      <c r="B90" s="27" t="s">
        <v>130</v>
      </c>
      <c r="C90" s="45">
        <f>SUM(D78:W78)/20/D9</f>
        <v>82.472449849338403</v>
      </c>
      <c r="D90" s="29" t="s">
        <v>54</v>
      </c>
    </row>
    <row r="91" spans="2:23" x14ac:dyDescent="0.25">
      <c r="B91" s="27" t="s">
        <v>128</v>
      </c>
      <c r="C91" s="43">
        <f>SUM(D80:W80)/D9</f>
        <v>1649.448996986768</v>
      </c>
      <c r="D91" s="29" t="s">
        <v>52</v>
      </c>
    </row>
    <row r="92" spans="2:23" x14ac:dyDescent="0.25">
      <c r="B92" s="27" t="s">
        <v>129</v>
      </c>
      <c r="C92" s="83">
        <f>W81/D9</f>
        <v>1249.448996986768</v>
      </c>
      <c r="D92" s="29" t="s">
        <v>52</v>
      </c>
    </row>
  </sheetData>
  <pageMargins left="0.7" right="0.7" top="0.75" bottom="0.75" header="0.3" footer="0.3"/>
  <pageSetup paperSize="9" orientation="portrait" r:id="rId1"/>
  <ignoredErrors>
    <ignoredError sqref="D47:W47 D49:W49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6"/>
  <sheetViews>
    <sheetView workbookViewId="0">
      <selection activeCell="I33" sqref="I33"/>
    </sheetView>
  </sheetViews>
  <sheetFormatPr defaultColWidth="8.90625" defaultRowHeight="11.5" x14ac:dyDescent="0.25"/>
  <cols>
    <col min="1" max="1" width="11.08984375" style="29" bestFit="1" customWidth="1"/>
    <col min="2" max="2" width="7.08984375" style="29" bestFit="1" customWidth="1"/>
    <col min="3" max="3" width="9.08984375" style="29" bestFit="1" customWidth="1"/>
    <col min="4" max="4" width="6.54296875" style="29" bestFit="1" customWidth="1"/>
    <col min="5" max="8" width="9.08984375" style="29" bestFit="1" customWidth="1"/>
    <col min="9" max="16384" width="8.90625" style="29"/>
  </cols>
  <sheetData>
    <row r="1" spans="1:9" ht="46" x14ac:dyDescent="0.25">
      <c r="A1" s="29" t="s">
        <v>92</v>
      </c>
      <c r="B1" s="73" t="s">
        <v>80</v>
      </c>
      <c r="C1" s="74" t="s">
        <v>81</v>
      </c>
      <c r="D1" s="74" t="s">
        <v>82</v>
      </c>
      <c r="E1" s="74" t="s">
        <v>83</v>
      </c>
      <c r="F1" s="74" t="s">
        <v>84</v>
      </c>
      <c r="G1" s="74" t="s">
        <v>85</v>
      </c>
      <c r="H1" s="74" t="s">
        <v>86</v>
      </c>
      <c r="I1" s="73"/>
    </row>
    <row r="2" spans="1:9" x14ac:dyDescent="0.25">
      <c r="A2" s="75">
        <v>45078</v>
      </c>
      <c r="B2" s="76" t="s">
        <v>93</v>
      </c>
      <c r="E2" s="77">
        <v>88.79</v>
      </c>
      <c r="F2" s="77" t="s">
        <v>71</v>
      </c>
      <c r="G2" s="77" t="s">
        <v>71</v>
      </c>
      <c r="H2" s="78">
        <v>23349</v>
      </c>
      <c r="I2" s="79"/>
    </row>
    <row r="3" spans="1:9" x14ac:dyDescent="0.25">
      <c r="A3" s="75">
        <v>45108</v>
      </c>
      <c r="B3" s="76" t="s">
        <v>87</v>
      </c>
      <c r="C3" s="77">
        <v>92.75</v>
      </c>
      <c r="D3" s="77">
        <v>744</v>
      </c>
      <c r="E3" s="77">
        <v>92.99</v>
      </c>
      <c r="F3" s="78">
        <v>43896</v>
      </c>
      <c r="G3" s="78">
        <v>181536</v>
      </c>
      <c r="H3" s="78">
        <v>3206</v>
      </c>
      <c r="I3" s="79"/>
    </row>
    <row r="4" spans="1:9" x14ac:dyDescent="0.25">
      <c r="A4" s="75">
        <v>45139</v>
      </c>
      <c r="B4" s="76" t="s">
        <v>88</v>
      </c>
      <c r="C4" s="77">
        <v>93.83</v>
      </c>
      <c r="D4" s="77">
        <v>744</v>
      </c>
      <c r="E4" s="77">
        <v>93.55</v>
      </c>
      <c r="F4" s="78">
        <v>6696</v>
      </c>
      <c r="G4" s="78">
        <v>3720</v>
      </c>
      <c r="H4" s="77">
        <v>290</v>
      </c>
      <c r="I4" s="79"/>
    </row>
    <row r="5" spans="1:9" x14ac:dyDescent="0.25">
      <c r="A5" s="75">
        <v>45170</v>
      </c>
      <c r="B5" s="76" t="s">
        <v>89</v>
      </c>
      <c r="C5" s="77">
        <v>104</v>
      </c>
      <c r="D5" s="77">
        <v>720</v>
      </c>
      <c r="E5" s="77">
        <v>103.49</v>
      </c>
      <c r="F5" s="78">
        <v>5760</v>
      </c>
      <c r="G5" s="78">
        <v>4320</v>
      </c>
      <c r="H5" s="77">
        <v>163</v>
      </c>
      <c r="I5" s="79"/>
    </row>
    <row r="6" spans="1:9" x14ac:dyDescent="0.25">
      <c r="A6" s="75">
        <v>45200</v>
      </c>
      <c r="B6" s="76" t="s">
        <v>90</v>
      </c>
      <c r="C6" s="77" t="s">
        <v>71</v>
      </c>
      <c r="D6" s="77" t="s">
        <v>71</v>
      </c>
      <c r="E6" s="77">
        <v>108.94</v>
      </c>
      <c r="F6" s="77" t="s">
        <v>71</v>
      </c>
      <c r="G6" s="77" t="s">
        <v>71</v>
      </c>
      <c r="H6" s="77">
        <v>32</v>
      </c>
      <c r="I6" s="79"/>
    </row>
    <row r="7" spans="1:9" x14ac:dyDescent="0.25">
      <c r="A7" s="75">
        <v>45231</v>
      </c>
      <c r="B7" s="80">
        <v>45231</v>
      </c>
      <c r="C7" s="77" t="s">
        <v>71</v>
      </c>
      <c r="D7" s="77" t="s">
        <v>71</v>
      </c>
      <c r="E7" s="77">
        <v>131.56</v>
      </c>
      <c r="F7" s="77">
        <v>0</v>
      </c>
      <c r="G7" s="77">
        <v>720</v>
      </c>
      <c r="H7" s="77">
        <v>16</v>
      </c>
      <c r="I7" s="79"/>
    </row>
    <row r="8" spans="1:9" x14ac:dyDescent="0.25">
      <c r="A8" s="75">
        <v>45261</v>
      </c>
      <c r="B8" s="76" t="s">
        <v>91</v>
      </c>
      <c r="C8" s="77" t="s">
        <v>71</v>
      </c>
      <c r="D8" s="77" t="s">
        <v>71</v>
      </c>
      <c r="E8" s="77">
        <v>133.01</v>
      </c>
      <c r="F8" s="77" t="s">
        <v>71</v>
      </c>
      <c r="G8" s="77" t="s">
        <v>71</v>
      </c>
      <c r="H8" s="77">
        <v>0</v>
      </c>
      <c r="I8" s="79"/>
    </row>
    <row r="9" spans="1:9" x14ac:dyDescent="0.25">
      <c r="A9" s="75">
        <v>45657</v>
      </c>
      <c r="B9" s="76" t="s">
        <v>69</v>
      </c>
      <c r="C9" s="77">
        <v>127</v>
      </c>
      <c r="D9" s="78">
        <v>8784</v>
      </c>
      <c r="E9" s="77">
        <v>126.98</v>
      </c>
      <c r="F9" s="78">
        <v>114192</v>
      </c>
      <c r="G9" s="78">
        <v>430416</v>
      </c>
      <c r="H9" s="78">
        <v>3827</v>
      </c>
      <c r="I9" s="81"/>
    </row>
    <row r="10" spans="1:9" x14ac:dyDescent="0.25">
      <c r="A10" s="75">
        <f>EOMONTH(A9,12)</f>
        <v>46022</v>
      </c>
      <c r="B10" s="76" t="s">
        <v>70</v>
      </c>
      <c r="C10" s="77" t="s">
        <v>71</v>
      </c>
      <c r="D10" s="77" t="s">
        <v>71</v>
      </c>
      <c r="E10" s="77">
        <v>117.13</v>
      </c>
      <c r="F10" s="77">
        <v>0</v>
      </c>
      <c r="G10" s="78">
        <v>8760</v>
      </c>
      <c r="H10" s="77">
        <v>360</v>
      </c>
      <c r="I10" s="81"/>
    </row>
    <row r="11" spans="1:9" x14ac:dyDescent="0.25">
      <c r="A11" s="75">
        <f t="shared" ref="A11:A18" si="0">EOMONTH(A10,12)</f>
        <v>46387</v>
      </c>
      <c r="B11" s="76" t="s">
        <v>72</v>
      </c>
      <c r="C11" s="77" t="s">
        <v>71</v>
      </c>
      <c r="D11" s="77" t="s">
        <v>71</v>
      </c>
      <c r="E11" s="77">
        <v>97.74</v>
      </c>
      <c r="F11" s="77" t="s">
        <v>71</v>
      </c>
      <c r="G11" s="77" t="s">
        <v>71</v>
      </c>
      <c r="H11" s="77">
        <v>67</v>
      </c>
      <c r="I11" s="81"/>
    </row>
    <row r="12" spans="1:9" x14ac:dyDescent="0.25">
      <c r="A12" s="75">
        <f t="shared" si="0"/>
        <v>46752</v>
      </c>
      <c r="B12" s="76" t="s">
        <v>73</v>
      </c>
      <c r="C12" s="77" t="s">
        <v>71</v>
      </c>
      <c r="D12" s="77" t="s">
        <v>71</v>
      </c>
      <c r="E12" s="77">
        <v>89.73</v>
      </c>
      <c r="F12" s="77" t="s">
        <v>71</v>
      </c>
      <c r="G12" s="77" t="s">
        <v>71</v>
      </c>
      <c r="H12" s="77">
        <v>14</v>
      </c>
      <c r="I12" s="81"/>
    </row>
    <row r="13" spans="1:9" x14ac:dyDescent="0.25">
      <c r="A13" s="75">
        <f t="shared" si="0"/>
        <v>47118</v>
      </c>
      <c r="B13" s="76" t="s">
        <v>74</v>
      </c>
      <c r="C13" s="77" t="s">
        <v>71</v>
      </c>
      <c r="D13" s="77" t="s">
        <v>71</v>
      </c>
      <c r="E13" s="77">
        <v>88.06</v>
      </c>
      <c r="F13" s="77" t="s">
        <v>71</v>
      </c>
      <c r="G13" s="77" t="s">
        <v>71</v>
      </c>
      <c r="H13" s="77">
        <v>5</v>
      </c>
      <c r="I13" s="81"/>
    </row>
    <row r="14" spans="1:9" x14ac:dyDescent="0.25">
      <c r="A14" s="75">
        <f t="shared" si="0"/>
        <v>47483</v>
      </c>
      <c r="B14" s="76" t="s">
        <v>75</v>
      </c>
      <c r="C14" s="77" t="s">
        <v>71</v>
      </c>
      <c r="D14" s="77" t="s">
        <v>71</v>
      </c>
      <c r="E14" s="77">
        <v>86.59</v>
      </c>
      <c r="F14" s="77" t="s">
        <v>71</v>
      </c>
      <c r="G14" s="77" t="s">
        <v>71</v>
      </c>
      <c r="H14" s="77">
        <v>4</v>
      </c>
      <c r="I14" s="81"/>
    </row>
    <row r="15" spans="1:9" x14ac:dyDescent="0.25">
      <c r="A15" s="75">
        <f t="shared" si="0"/>
        <v>47848</v>
      </c>
      <c r="B15" s="76" t="s">
        <v>76</v>
      </c>
      <c r="C15" s="77" t="s">
        <v>71</v>
      </c>
      <c r="D15" s="77" t="s">
        <v>71</v>
      </c>
      <c r="E15" s="77">
        <v>86.96</v>
      </c>
      <c r="F15" s="77" t="s">
        <v>71</v>
      </c>
      <c r="G15" s="77" t="s">
        <v>71</v>
      </c>
      <c r="H15" s="77">
        <v>4</v>
      </c>
      <c r="I15" s="81"/>
    </row>
    <row r="16" spans="1:9" x14ac:dyDescent="0.25">
      <c r="A16" s="75">
        <f t="shared" si="0"/>
        <v>48213</v>
      </c>
      <c r="B16" s="76" t="s">
        <v>77</v>
      </c>
      <c r="C16" s="77" t="s">
        <v>71</v>
      </c>
      <c r="D16" s="77" t="s">
        <v>71</v>
      </c>
      <c r="E16" s="77">
        <v>85.46</v>
      </c>
      <c r="F16" s="77" t="s">
        <v>71</v>
      </c>
      <c r="G16" s="77" t="s">
        <v>71</v>
      </c>
      <c r="H16" s="77">
        <v>4</v>
      </c>
      <c r="I16" s="81"/>
    </row>
    <row r="17" spans="1:9" x14ac:dyDescent="0.25">
      <c r="A17" s="75">
        <f t="shared" si="0"/>
        <v>48579</v>
      </c>
      <c r="B17" s="76" t="s">
        <v>78</v>
      </c>
      <c r="C17" s="77" t="s">
        <v>71</v>
      </c>
      <c r="D17" s="77" t="s">
        <v>71</v>
      </c>
      <c r="E17" s="77">
        <v>85.08</v>
      </c>
      <c r="F17" s="77" t="s">
        <v>71</v>
      </c>
      <c r="G17" s="77" t="s">
        <v>71</v>
      </c>
      <c r="H17" s="77">
        <v>4</v>
      </c>
      <c r="I17" s="81"/>
    </row>
    <row r="18" spans="1:9" x14ac:dyDescent="0.25">
      <c r="A18" s="75">
        <f t="shared" si="0"/>
        <v>48944</v>
      </c>
      <c r="B18" s="76" t="s">
        <v>79</v>
      </c>
      <c r="C18" s="77" t="s">
        <v>71</v>
      </c>
      <c r="D18" s="77" t="s">
        <v>71</v>
      </c>
      <c r="E18" s="77">
        <v>85.33</v>
      </c>
      <c r="F18" s="77" t="s">
        <v>71</v>
      </c>
      <c r="G18" s="77" t="s">
        <v>71</v>
      </c>
      <c r="H18" s="77">
        <v>4</v>
      </c>
      <c r="I18" s="82"/>
    </row>
    <row r="19" spans="1:9" ht="23" x14ac:dyDescent="0.25">
      <c r="D19" s="89" t="s">
        <v>94</v>
      </c>
      <c r="E19" s="90">
        <f>AVERAGE(E2:E8)</f>
        <v>107.47571428571428</v>
      </c>
    </row>
    <row r="20" spans="1:9" ht="23" x14ac:dyDescent="0.25">
      <c r="D20" s="74" t="s">
        <v>95</v>
      </c>
      <c r="E20" s="88">
        <f>AVERAGE(E9:E19)</f>
        <v>96.048701298701332</v>
      </c>
      <c r="I20" s="82"/>
    </row>
    <row r="21" spans="1:9" x14ac:dyDescent="0.25">
      <c r="I21" s="81"/>
    </row>
    <row r="22" spans="1:9" x14ac:dyDescent="0.25">
      <c r="A22" s="29" t="s">
        <v>132</v>
      </c>
      <c r="I22" s="81"/>
    </row>
    <row r="23" spans="1:9" x14ac:dyDescent="0.25">
      <c r="I23" s="81"/>
    </row>
    <row r="24" spans="1:9" x14ac:dyDescent="0.25">
      <c r="I24" s="81"/>
    </row>
    <row r="25" spans="1:9" x14ac:dyDescent="0.25">
      <c r="I25" s="81"/>
    </row>
    <row r="26" spans="1:9" x14ac:dyDescent="0.25">
      <c r="I26" s="82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3"/>
  <sheetViews>
    <sheetView topLeftCell="A10" zoomScale="90" zoomScaleNormal="90" workbookViewId="0">
      <selection activeCell="H30" sqref="H30"/>
    </sheetView>
  </sheetViews>
  <sheetFormatPr defaultColWidth="8.90625" defaultRowHeight="11.5" x14ac:dyDescent="0.25"/>
  <cols>
    <col min="1" max="1" width="8.90625" style="29"/>
    <col min="2" max="2" width="38.36328125" style="29" bestFit="1" customWidth="1"/>
    <col min="3" max="3" width="14.54296875" style="28" customWidth="1"/>
    <col min="4" max="4" width="14.54296875" style="29" customWidth="1"/>
    <col min="5" max="6" width="8.90625" style="29"/>
    <col min="7" max="7" width="32.90625" style="29" bestFit="1" customWidth="1"/>
    <col min="8" max="8" width="14.54296875" style="28" customWidth="1"/>
    <col min="9" max="9" width="25.453125" style="29" bestFit="1" customWidth="1"/>
    <col min="10" max="10" width="25.08984375" style="29" bestFit="1" customWidth="1"/>
    <col min="11" max="11" width="8.90625" style="29"/>
    <col min="12" max="12" width="10.453125" style="29" bestFit="1" customWidth="1"/>
    <col min="13" max="16384" width="8.90625" style="29"/>
  </cols>
  <sheetData>
    <row r="2" spans="2:13" x14ac:dyDescent="0.25">
      <c r="B2" s="27" t="s">
        <v>0</v>
      </c>
      <c r="G2" s="27"/>
    </row>
    <row r="4" spans="2:13" x14ac:dyDescent="0.25">
      <c r="B4" s="30" t="s">
        <v>1</v>
      </c>
      <c r="C4" s="31" t="s">
        <v>4</v>
      </c>
      <c r="D4" s="31" t="s">
        <v>11</v>
      </c>
      <c r="G4" s="30" t="s">
        <v>21</v>
      </c>
      <c r="H4" s="31" t="s">
        <v>11</v>
      </c>
      <c r="I4" s="27" t="s">
        <v>23</v>
      </c>
      <c r="J4" s="27" t="s">
        <v>24</v>
      </c>
      <c r="L4" s="29" t="s">
        <v>34</v>
      </c>
    </row>
    <row r="5" spans="2:13" x14ac:dyDescent="0.25">
      <c r="B5" s="32" t="s">
        <v>10</v>
      </c>
      <c r="C5" s="28" t="s">
        <v>5</v>
      </c>
      <c r="D5" s="33">
        <v>200</v>
      </c>
      <c r="G5" s="32" t="s">
        <v>22</v>
      </c>
      <c r="H5" s="34">
        <v>180</v>
      </c>
      <c r="I5" s="33">
        <v>2800</v>
      </c>
      <c r="J5" s="35">
        <f>H5*I5</f>
        <v>504000</v>
      </c>
      <c r="L5" s="36">
        <f>D6*D5*D8</f>
        <v>180000</v>
      </c>
    </row>
    <row r="6" spans="2:13" x14ac:dyDescent="0.25">
      <c r="B6" s="32" t="s">
        <v>9</v>
      </c>
      <c r="C6" s="28" t="s">
        <v>6</v>
      </c>
      <c r="D6" s="33">
        <v>1200</v>
      </c>
      <c r="G6" s="32"/>
    </row>
    <row r="7" spans="2:13" x14ac:dyDescent="0.25">
      <c r="B7" s="32" t="s">
        <v>35</v>
      </c>
      <c r="C7" s="28" t="s">
        <v>7</v>
      </c>
      <c r="D7" s="37">
        <v>0</v>
      </c>
      <c r="G7" s="32"/>
      <c r="L7" s="38">
        <f>L5/J5</f>
        <v>0.35714285714285715</v>
      </c>
      <c r="M7" s="29" t="s">
        <v>2</v>
      </c>
    </row>
    <row r="8" spans="2:13" x14ac:dyDescent="0.25">
      <c r="B8" s="32" t="s">
        <v>8</v>
      </c>
      <c r="C8" s="28" t="s">
        <v>7</v>
      </c>
      <c r="D8" s="37">
        <v>0.75</v>
      </c>
      <c r="G8" s="32"/>
      <c r="L8" s="39">
        <f>L7-D8</f>
        <v>-0.39285714285714285</v>
      </c>
    </row>
    <row r="9" spans="2:13" x14ac:dyDescent="0.25">
      <c r="B9" s="32" t="s">
        <v>38</v>
      </c>
      <c r="C9" s="28" t="s">
        <v>39</v>
      </c>
      <c r="D9" s="40">
        <v>20</v>
      </c>
      <c r="G9" s="32"/>
      <c r="L9" s="39"/>
    </row>
    <row r="10" spans="2:13" x14ac:dyDescent="0.25">
      <c r="B10" s="32" t="s">
        <v>49</v>
      </c>
      <c r="D10" s="41">
        <v>-4.0000000000000001E-3</v>
      </c>
      <c r="G10" s="32"/>
      <c r="L10" s="39"/>
    </row>
    <row r="12" spans="2:13" x14ac:dyDescent="0.25">
      <c r="B12" s="30" t="s">
        <v>3</v>
      </c>
      <c r="G12" s="30"/>
    </row>
    <row r="13" spans="2:13" x14ac:dyDescent="0.25">
      <c r="B13" s="32" t="s">
        <v>13</v>
      </c>
      <c r="C13" s="28" t="s">
        <v>12</v>
      </c>
      <c r="D13" s="42">
        <f>100/1000</f>
        <v>0.1</v>
      </c>
      <c r="G13" s="32"/>
    </row>
    <row r="14" spans="2:13" x14ac:dyDescent="0.25">
      <c r="B14" s="32" t="s">
        <v>14</v>
      </c>
      <c r="C14" s="28" t="s">
        <v>12</v>
      </c>
      <c r="D14" s="42">
        <f>D13+0.15</f>
        <v>0.25</v>
      </c>
      <c r="G14" s="32"/>
    </row>
    <row r="15" spans="2:13" x14ac:dyDescent="0.25">
      <c r="B15" s="32" t="s">
        <v>15</v>
      </c>
      <c r="C15" s="28" t="s">
        <v>12</v>
      </c>
      <c r="D15" s="42">
        <v>0.11</v>
      </c>
      <c r="G15" s="32"/>
    </row>
    <row r="16" spans="2:13" x14ac:dyDescent="0.25">
      <c r="B16" s="32" t="s">
        <v>19</v>
      </c>
      <c r="C16" s="28" t="s">
        <v>12</v>
      </c>
      <c r="D16" s="42">
        <v>8.5000000000000006E-3</v>
      </c>
      <c r="G16" s="32"/>
    </row>
    <row r="18" spans="2:23" x14ac:dyDescent="0.25">
      <c r="B18" s="32" t="s">
        <v>16</v>
      </c>
      <c r="C18" s="28" t="s">
        <v>17</v>
      </c>
      <c r="D18" s="33">
        <v>1200</v>
      </c>
      <c r="E18" s="35">
        <f>D18*D5*(1-D19)</f>
        <v>144000</v>
      </c>
      <c r="G18" s="32" t="s">
        <v>51</v>
      </c>
      <c r="H18" s="43">
        <f>E18/H5</f>
        <v>800</v>
      </c>
      <c r="I18" s="29" t="s">
        <v>52</v>
      </c>
    </row>
    <row r="19" spans="2:23" x14ac:dyDescent="0.25">
      <c r="B19" s="32" t="s">
        <v>61</v>
      </c>
      <c r="C19" s="28" t="s">
        <v>7</v>
      </c>
      <c r="D19" s="60">
        <v>0.4</v>
      </c>
      <c r="E19" s="35"/>
      <c r="G19" s="32"/>
      <c r="H19" s="43"/>
    </row>
    <row r="20" spans="2:23" x14ac:dyDescent="0.25">
      <c r="B20" s="32" t="s">
        <v>18</v>
      </c>
      <c r="C20" s="28" t="s">
        <v>20</v>
      </c>
      <c r="D20" s="44">
        <v>3.5000000000000003E-2</v>
      </c>
      <c r="G20" s="32" t="s">
        <v>53</v>
      </c>
      <c r="H20" s="45">
        <f>D48/H5</f>
        <v>136.87900000000002</v>
      </c>
      <c r="I20" s="29" t="s">
        <v>54</v>
      </c>
      <c r="J20" s="29" t="s">
        <v>47</v>
      </c>
      <c r="K20" s="29">
        <f>H18/H20</f>
        <v>5.844578057992825</v>
      </c>
    </row>
    <row r="21" spans="2:23" x14ac:dyDescent="0.25">
      <c r="B21" s="32" t="s">
        <v>42</v>
      </c>
      <c r="C21" s="28" t="s">
        <v>7</v>
      </c>
      <c r="D21" s="37">
        <v>0.28000000000000003</v>
      </c>
      <c r="G21" s="32"/>
    </row>
    <row r="22" spans="2:23" x14ac:dyDescent="0.25">
      <c r="B22" s="32"/>
      <c r="G22" s="32"/>
    </row>
    <row r="24" spans="2:23" x14ac:dyDescent="0.25">
      <c r="B24" s="54"/>
      <c r="C24" s="55">
        <v>0</v>
      </c>
      <c r="D24" s="55">
        <v>1</v>
      </c>
      <c r="E24" s="55">
        <v>2</v>
      </c>
      <c r="F24" s="55">
        <v>3</v>
      </c>
      <c r="G24" s="55">
        <v>4</v>
      </c>
      <c r="H24" s="55">
        <v>5</v>
      </c>
      <c r="I24" s="55">
        <v>6</v>
      </c>
      <c r="J24" s="55">
        <v>7</v>
      </c>
      <c r="K24" s="55">
        <v>8</v>
      </c>
      <c r="L24" s="55">
        <v>9</v>
      </c>
      <c r="M24" s="55">
        <v>10</v>
      </c>
      <c r="N24" s="55">
        <v>11</v>
      </c>
      <c r="O24" s="55">
        <v>12</v>
      </c>
      <c r="P24" s="55">
        <v>13</v>
      </c>
      <c r="Q24" s="55">
        <v>14</v>
      </c>
      <c r="R24" s="55">
        <v>15</v>
      </c>
      <c r="S24" s="55">
        <v>16</v>
      </c>
      <c r="T24" s="55">
        <v>17</v>
      </c>
      <c r="U24" s="55">
        <v>18</v>
      </c>
      <c r="V24" s="55">
        <v>19</v>
      </c>
      <c r="W24" s="55">
        <v>20</v>
      </c>
    </row>
    <row r="25" spans="2:23" x14ac:dyDescent="0.25">
      <c r="B25" s="29" t="s">
        <v>25</v>
      </c>
      <c r="D25" s="35">
        <f>$D$5*$D$6</f>
        <v>240000</v>
      </c>
      <c r="E25" s="35">
        <f>D25*(1+$D$10)</f>
        <v>239040</v>
      </c>
      <c r="F25" s="35">
        <f t="shared" ref="F25:W25" si="0">E25*(1+$D$10)</f>
        <v>238083.84</v>
      </c>
      <c r="G25" s="35">
        <f t="shared" si="0"/>
        <v>237131.50464</v>
      </c>
      <c r="H25" s="35">
        <f t="shared" si="0"/>
        <v>236182.97862144001</v>
      </c>
      <c r="I25" s="35">
        <f t="shared" si="0"/>
        <v>235238.24670695426</v>
      </c>
      <c r="J25" s="35">
        <f t="shared" si="0"/>
        <v>234297.29372012644</v>
      </c>
      <c r="K25" s="35">
        <f t="shared" si="0"/>
        <v>233360.10454524594</v>
      </c>
      <c r="L25" s="35">
        <f t="shared" si="0"/>
        <v>232426.66412706496</v>
      </c>
      <c r="M25" s="35">
        <f t="shared" si="0"/>
        <v>231496.95747055669</v>
      </c>
      <c r="N25" s="35">
        <f t="shared" si="0"/>
        <v>230570.96964067448</v>
      </c>
      <c r="O25" s="35">
        <f t="shared" si="0"/>
        <v>229648.68576211177</v>
      </c>
      <c r="P25" s="35">
        <f t="shared" si="0"/>
        <v>228730.09101906331</v>
      </c>
      <c r="Q25" s="35">
        <f t="shared" si="0"/>
        <v>227815.17065498707</v>
      </c>
      <c r="R25" s="35">
        <f t="shared" si="0"/>
        <v>226903.90997236711</v>
      </c>
      <c r="S25" s="35">
        <f t="shared" si="0"/>
        <v>225996.29433247764</v>
      </c>
      <c r="T25" s="35">
        <f t="shared" si="0"/>
        <v>225092.30915514773</v>
      </c>
      <c r="U25" s="35">
        <f t="shared" si="0"/>
        <v>224191.93991852715</v>
      </c>
      <c r="V25" s="35">
        <f t="shared" si="0"/>
        <v>223295.17215885303</v>
      </c>
      <c r="W25" s="35">
        <f t="shared" si="0"/>
        <v>222401.99147021762</v>
      </c>
    </row>
    <row r="26" spans="2:23" x14ac:dyDescent="0.25">
      <c r="B26" s="29" t="s">
        <v>26</v>
      </c>
      <c r="D26" s="35">
        <f>$D$7*D25</f>
        <v>0</v>
      </c>
      <c r="E26" s="35">
        <f t="shared" ref="E26:W26" si="1">$D$7*E25</f>
        <v>0</v>
      </c>
      <c r="F26" s="35">
        <f t="shared" si="1"/>
        <v>0</v>
      </c>
      <c r="G26" s="35">
        <f t="shared" si="1"/>
        <v>0</v>
      </c>
      <c r="H26" s="35">
        <f t="shared" si="1"/>
        <v>0</v>
      </c>
      <c r="I26" s="35">
        <f t="shared" si="1"/>
        <v>0</v>
      </c>
      <c r="J26" s="35">
        <f t="shared" si="1"/>
        <v>0</v>
      </c>
      <c r="K26" s="35">
        <f t="shared" si="1"/>
        <v>0</v>
      </c>
      <c r="L26" s="35">
        <f t="shared" si="1"/>
        <v>0</v>
      </c>
      <c r="M26" s="35">
        <f t="shared" si="1"/>
        <v>0</v>
      </c>
      <c r="N26" s="35">
        <f t="shared" si="1"/>
        <v>0</v>
      </c>
      <c r="O26" s="35">
        <f t="shared" si="1"/>
        <v>0</v>
      </c>
      <c r="P26" s="35">
        <f t="shared" si="1"/>
        <v>0</v>
      </c>
      <c r="Q26" s="35">
        <f t="shared" si="1"/>
        <v>0</v>
      </c>
      <c r="R26" s="35">
        <f t="shared" si="1"/>
        <v>0</v>
      </c>
      <c r="S26" s="35">
        <f t="shared" si="1"/>
        <v>0</v>
      </c>
      <c r="T26" s="35">
        <f t="shared" si="1"/>
        <v>0</v>
      </c>
      <c r="U26" s="35">
        <f t="shared" si="1"/>
        <v>0</v>
      </c>
      <c r="V26" s="35">
        <f t="shared" si="1"/>
        <v>0</v>
      </c>
      <c r="W26" s="35">
        <f t="shared" si="1"/>
        <v>0</v>
      </c>
    </row>
    <row r="27" spans="2:23" x14ac:dyDescent="0.25">
      <c r="B27" s="29" t="s">
        <v>27</v>
      </c>
      <c r="D27" s="35">
        <f>$D$8*D25</f>
        <v>180000</v>
      </c>
      <c r="E27" s="35">
        <f t="shared" ref="E27:W27" si="2">$D$8*E25</f>
        <v>179280</v>
      </c>
      <c r="F27" s="35">
        <f t="shared" si="2"/>
        <v>178562.88</v>
      </c>
      <c r="G27" s="35">
        <f t="shared" si="2"/>
        <v>177848.62848000001</v>
      </c>
      <c r="H27" s="35">
        <f t="shared" si="2"/>
        <v>177137.23396608001</v>
      </c>
      <c r="I27" s="35">
        <f t="shared" si="2"/>
        <v>176428.68503021571</v>
      </c>
      <c r="J27" s="35">
        <f t="shared" si="2"/>
        <v>175722.97029009485</v>
      </c>
      <c r="K27" s="35">
        <f t="shared" si="2"/>
        <v>175020.07840893447</v>
      </c>
      <c r="L27" s="35">
        <f t="shared" si="2"/>
        <v>174319.99809529871</v>
      </c>
      <c r="M27" s="35">
        <f t="shared" si="2"/>
        <v>173622.71810291751</v>
      </c>
      <c r="N27" s="35">
        <f t="shared" si="2"/>
        <v>172928.22723050584</v>
      </c>
      <c r="O27" s="35">
        <f t="shared" si="2"/>
        <v>172236.51432158382</v>
      </c>
      <c r="P27" s="35">
        <f t="shared" si="2"/>
        <v>171547.5682642975</v>
      </c>
      <c r="Q27" s="35">
        <f t="shared" si="2"/>
        <v>170861.3779912403</v>
      </c>
      <c r="R27" s="35">
        <f t="shared" si="2"/>
        <v>170177.93247927533</v>
      </c>
      <c r="S27" s="35">
        <f t="shared" si="2"/>
        <v>169497.22074935824</v>
      </c>
      <c r="T27" s="35">
        <f t="shared" si="2"/>
        <v>168819.23186636079</v>
      </c>
      <c r="U27" s="35">
        <f t="shared" si="2"/>
        <v>168143.95493889536</v>
      </c>
      <c r="V27" s="35">
        <f t="shared" si="2"/>
        <v>167471.37911913978</v>
      </c>
      <c r="W27" s="35">
        <f t="shared" si="2"/>
        <v>166801.49360266322</v>
      </c>
    </row>
    <row r="29" spans="2:23" x14ac:dyDescent="0.25">
      <c r="B29" s="54" t="s">
        <v>28</v>
      </c>
      <c r="C29" s="55">
        <v>0</v>
      </c>
      <c r="D29" s="55">
        <v>1</v>
      </c>
      <c r="E29" s="55">
        <v>2</v>
      </c>
      <c r="F29" s="55">
        <v>3</v>
      </c>
      <c r="G29" s="55">
        <v>4</v>
      </c>
      <c r="H29" s="55">
        <v>5</v>
      </c>
      <c r="I29" s="55">
        <v>6</v>
      </c>
      <c r="J29" s="55">
        <v>7</v>
      </c>
      <c r="K29" s="55">
        <v>8</v>
      </c>
      <c r="L29" s="55">
        <v>9</v>
      </c>
      <c r="M29" s="55">
        <v>10</v>
      </c>
      <c r="N29" s="55">
        <v>11</v>
      </c>
      <c r="O29" s="55">
        <v>12</v>
      </c>
      <c r="P29" s="55">
        <v>13</v>
      </c>
      <c r="Q29" s="55">
        <v>14</v>
      </c>
      <c r="R29" s="55">
        <v>15</v>
      </c>
      <c r="S29" s="55">
        <v>16</v>
      </c>
      <c r="T29" s="55">
        <v>17</v>
      </c>
      <c r="U29" s="55">
        <v>18</v>
      </c>
      <c r="V29" s="55">
        <v>19</v>
      </c>
      <c r="W29" s="55">
        <v>20</v>
      </c>
    </row>
    <row r="30" spans="2:23" x14ac:dyDescent="0.25">
      <c r="B30" s="46" t="s">
        <v>29</v>
      </c>
      <c r="C30" s="47"/>
      <c r="D30" s="48">
        <f>SUM(D31:D34)</f>
        <v>33598.5</v>
      </c>
      <c r="E30" s="48">
        <f t="shared" ref="E30:W30" si="3">SUM(E31:E34)</f>
        <v>33464.106</v>
      </c>
      <c r="F30" s="48">
        <f t="shared" si="3"/>
        <v>33330.249576000002</v>
      </c>
      <c r="G30" s="48">
        <f t="shared" si="3"/>
        <v>33196.928577696002</v>
      </c>
      <c r="H30" s="48">
        <f t="shared" si="3"/>
        <v>33064.140863385219</v>
      </c>
      <c r="I30" s="48">
        <f t="shared" si="3"/>
        <v>32931.884299931677</v>
      </c>
      <c r="J30" s="48">
        <f t="shared" si="3"/>
        <v>32800.15676273196</v>
      </c>
      <c r="K30" s="48">
        <f t="shared" si="3"/>
        <v>32668.956135681023</v>
      </c>
      <c r="L30" s="48">
        <f t="shared" si="3"/>
        <v>32538.2803111383</v>
      </c>
      <c r="M30" s="48">
        <f t="shared" si="3"/>
        <v>32408.127189893748</v>
      </c>
      <c r="N30" s="48">
        <f t="shared" si="3"/>
        <v>32278.494681134172</v>
      </c>
      <c r="O30" s="48">
        <f t="shared" si="3"/>
        <v>32149.380702409631</v>
      </c>
      <c r="P30" s="48">
        <f t="shared" si="3"/>
        <v>32020.783179599995</v>
      </c>
      <c r="Q30" s="48">
        <f t="shared" si="3"/>
        <v>31892.700046881593</v>
      </c>
      <c r="R30" s="48">
        <f t="shared" si="3"/>
        <v>31765.129246694065</v>
      </c>
      <c r="S30" s="48">
        <f t="shared" si="3"/>
        <v>31638.068729707295</v>
      </c>
      <c r="T30" s="48">
        <f t="shared" si="3"/>
        <v>31511.51645478846</v>
      </c>
      <c r="U30" s="48">
        <f t="shared" si="3"/>
        <v>31385.470388969308</v>
      </c>
      <c r="V30" s="48">
        <f t="shared" si="3"/>
        <v>31259.928507413431</v>
      </c>
      <c r="W30" s="48">
        <f t="shared" si="3"/>
        <v>31134.888793383776</v>
      </c>
    </row>
    <row r="31" spans="2:23" x14ac:dyDescent="0.25">
      <c r="B31" s="32" t="s">
        <v>30</v>
      </c>
      <c r="D31" s="35">
        <f>D25*$D$13</f>
        <v>24000</v>
      </c>
      <c r="E31" s="35">
        <f t="shared" ref="E31:W31" si="4">E25*$D$13</f>
        <v>23904</v>
      </c>
      <c r="F31" s="35">
        <f t="shared" si="4"/>
        <v>23808.384000000002</v>
      </c>
      <c r="G31" s="35">
        <f t="shared" si="4"/>
        <v>23713.150464000002</v>
      </c>
      <c r="H31" s="35">
        <f t="shared" si="4"/>
        <v>23618.297862144002</v>
      </c>
      <c r="I31" s="35">
        <f t="shared" si="4"/>
        <v>23523.824670695427</v>
      </c>
      <c r="J31" s="35">
        <f t="shared" si="4"/>
        <v>23429.729372012647</v>
      </c>
      <c r="K31" s="35">
        <f t="shared" si="4"/>
        <v>23336.010454524596</v>
      </c>
      <c r="L31" s="35">
        <f t="shared" si="4"/>
        <v>23242.666412706498</v>
      </c>
      <c r="M31" s="35">
        <f t="shared" si="4"/>
        <v>23149.69574705567</v>
      </c>
      <c r="N31" s="35">
        <f t="shared" si="4"/>
        <v>23057.096964067448</v>
      </c>
      <c r="O31" s="35">
        <f t="shared" si="4"/>
        <v>22964.868576211178</v>
      </c>
      <c r="P31" s="35">
        <f t="shared" si="4"/>
        <v>22873.009101906333</v>
      </c>
      <c r="Q31" s="35">
        <f t="shared" si="4"/>
        <v>22781.517065498709</v>
      </c>
      <c r="R31" s="35">
        <f t="shared" si="4"/>
        <v>22690.390997236711</v>
      </c>
      <c r="S31" s="35">
        <f t="shared" si="4"/>
        <v>22599.629433247766</v>
      </c>
      <c r="T31" s="35">
        <f t="shared" si="4"/>
        <v>22509.230915514774</v>
      </c>
      <c r="U31" s="35">
        <f t="shared" si="4"/>
        <v>22419.193991852717</v>
      </c>
      <c r="V31" s="35">
        <f t="shared" si="4"/>
        <v>22329.517215885306</v>
      </c>
      <c r="W31" s="35">
        <f t="shared" si="4"/>
        <v>22240.199147021762</v>
      </c>
    </row>
    <row r="32" spans="2:23" x14ac:dyDescent="0.25">
      <c r="B32" s="32" t="s">
        <v>31</v>
      </c>
      <c r="D32" s="35">
        <f>D26*$D$14*$D$7</f>
        <v>0</v>
      </c>
      <c r="E32" s="35">
        <f t="shared" ref="E32:W32" si="5">E26*$D$14*$D$7</f>
        <v>0</v>
      </c>
      <c r="F32" s="35">
        <f t="shared" si="5"/>
        <v>0</v>
      </c>
      <c r="G32" s="35">
        <f t="shared" si="5"/>
        <v>0</v>
      </c>
      <c r="H32" s="35">
        <f t="shared" si="5"/>
        <v>0</v>
      </c>
      <c r="I32" s="35">
        <f t="shared" si="5"/>
        <v>0</v>
      </c>
      <c r="J32" s="35">
        <f t="shared" si="5"/>
        <v>0</v>
      </c>
      <c r="K32" s="35">
        <f t="shared" si="5"/>
        <v>0</v>
      </c>
      <c r="L32" s="35">
        <f t="shared" si="5"/>
        <v>0</v>
      </c>
      <c r="M32" s="35">
        <f t="shared" si="5"/>
        <v>0</v>
      </c>
      <c r="N32" s="35">
        <f t="shared" si="5"/>
        <v>0</v>
      </c>
      <c r="O32" s="35">
        <f t="shared" si="5"/>
        <v>0</v>
      </c>
      <c r="P32" s="35">
        <f t="shared" si="5"/>
        <v>0</v>
      </c>
      <c r="Q32" s="35">
        <f t="shared" si="5"/>
        <v>0</v>
      </c>
      <c r="R32" s="35">
        <f t="shared" si="5"/>
        <v>0</v>
      </c>
      <c r="S32" s="35">
        <f t="shared" si="5"/>
        <v>0</v>
      </c>
      <c r="T32" s="35">
        <f t="shared" si="5"/>
        <v>0</v>
      </c>
      <c r="U32" s="35">
        <f t="shared" si="5"/>
        <v>0</v>
      </c>
      <c r="V32" s="35">
        <f t="shared" si="5"/>
        <v>0</v>
      </c>
      <c r="W32" s="35">
        <f t="shared" si="5"/>
        <v>0</v>
      </c>
    </row>
    <row r="33" spans="2:23" x14ac:dyDescent="0.25">
      <c r="B33" s="32" t="s">
        <v>32</v>
      </c>
      <c r="D33" s="35">
        <f>D27*($D$15+$D$16)*$D$8</f>
        <v>15997.5</v>
      </c>
      <c r="E33" s="35">
        <f t="shared" ref="E33:W33" si="6">E27*($D$15+$D$16)*$D$8</f>
        <v>15933.51</v>
      </c>
      <c r="F33" s="35">
        <f t="shared" si="6"/>
        <v>15869.775960000001</v>
      </c>
      <c r="G33" s="35">
        <f t="shared" si="6"/>
        <v>15806.296856159999</v>
      </c>
      <c r="H33" s="35">
        <f t="shared" si="6"/>
        <v>15743.07166873536</v>
      </c>
      <c r="I33" s="35">
        <f t="shared" si="6"/>
        <v>15680.09938206042</v>
      </c>
      <c r="J33" s="35">
        <f t="shared" si="6"/>
        <v>15617.378984532179</v>
      </c>
      <c r="K33" s="35">
        <f t="shared" si="6"/>
        <v>15554.909468594049</v>
      </c>
      <c r="L33" s="35">
        <f t="shared" si="6"/>
        <v>15492.689830719672</v>
      </c>
      <c r="M33" s="35">
        <f t="shared" si="6"/>
        <v>15430.719071396794</v>
      </c>
      <c r="N33" s="35">
        <f t="shared" si="6"/>
        <v>15368.996195111207</v>
      </c>
      <c r="O33" s="35">
        <f t="shared" si="6"/>
        <v>15307.520210330762</v>
      </c>
      <c r="P33" s="35">
        <f t="shared" si="6"/>
        <v>15246.29012948944</v>
      </c>
      <c r="Q33" s="35">
        <f t="shared" si="6"/>
        <v>15185.304968971479</v>
      </c>
      <c r="R33" s="35">
        <f t="shared" si="6"/>
        <v>15124.563749095594</v>
      </c>
      <c r="S33" s="35">
        <f t="shared" si="6"/>
        <v>15064.065494099214</v>
      </c>
      <c r="T33" s="35">
        <f t="shared" si="6"/>
        <v>15003.809232122814</v>
      </c>
      <c r="U33" s="35">
        <f t="shared" si="6"/>
        <v>14943.793995194324</v>
      </c>
      <c r="V33" s="35">
        <f t="shared" si="6"/>
        <v>14884.018819213547</v>
      </c>
      <c r="W33" s="35">
        <f t="shared" si="6"/>
        <v>14824.482743936693</v>
      </c>
    </row>
    <row r="34" spans="2:23" x14ac:dyDescent="0.25">
      <c r="B34" s="32" t="s">
        <v>62</v>
      </c>
      <c r="D34" s="35">
        <f>-D33*$D$19</f>
        <v>-6399</v>
      </c>
      <c r="E34" s="35">
        <f t="shared" ref="E34:W34" si="7">-E33*$D$19</f>
        <v>-6373.4040000000005</v>
      </c>
      <c r="F34" s="35">
        <f t="shared" si="7"/>
        <v>-6347.9103840000007</v>
      </c>
      <c r="G34" s="35">
        <f t="shared" si="7"/>
        <v>-6322.5187424639998</v>
      </c>
      <c r="H34" s="35">
        <f t="shared" si="7"/>
        <v>-6297.2286674941442</v>
      </c>
      <c r="I34" s="35">
        <f t="shared" si="7"/>
        <v>-6272.0397528241683</v>
      </c>
      <c r="J34" s="35">
        <f t="shared" si="7"/>
        <v>-6246.9515938128716</v>
      </c>
      <c r="K34" s="35">
        <f t="shared" si="7"/>
        <v>-6221.9637874376203</v>
      </c>
      <c r="L34" s="35">
        <f t="shared" si="7"/>
        <v>-6197.0759322878694</v>
      </c>
      <c r="M34" s="35">
        <f t="shared" si="7"/>
        <v>-6172.2876285587181</v>
      </c>
      <c r="N34" s="35">
        <f t="shared" si="7"/>
        <v>-6147.5984780444833</v>
      </c>
      <c r="O34" s="35">
        <f t="shared" si="7"/>
        <v>-6123.0080841323052</v>
      </c>
      <c r="P34" s="35">
        <f t="shared" si="7"/>
        <v>-6098.5160517957765</v>
      </c>
      <c r="Q34" s="35">
        <f t="shared" si="7"/>
        <v>-6074.1219875885918</v>
      </c>
      <c r="R34" s="35">
        <f t="shared" si="7"/>
        <v>-6049.8254996382384</v>
      </c>
      <c r="S34" s="35">
        <f t="shared" si="7"/>
        <v>-6025.6261976396854</v>
      </c>
      <c r="T34" s="35">
        <f t="shared" si="7"/>
        <v>-6001.5236928491258</v>
      </c>
      <c r="U34" s="35">
        <f t="shared" si="7"/>
        <v>-5977.5175980777303</v>
      </c>
      <c r="V34" s="35">
        <f t="shared" si="7"/>
        <v>-5953.607527685419</v>
      </c>
      <c r="W34" s="35">
        <f t="shared" si="7"/>
        <v>-5929.7930975746776</v>
      </c>
    </row>
    <row r="35" spans="2:23" x14ac:dyDescent="0.25">
      <c r="B35" s="46" t="s">
        <v>33</v>
      </c>
      <c r="C35" s="47"/>
      <c r="D35" s="48">
        <f>D36</f>
        <v>-8400.0000000000018</v>
      </c>
      <c r="E35" s="48">
        <f t="shared" ref="E35:W35" si="8">E36</f>
        <v>-8400.0000000000018</v>
      </c>
      <c r="F35" s="48">
        <f t="shared" si="8"/>
        <v>-8400.0000000000018</v>
      </c>
      <c r="G35" s="48">
        <f t="shared" si="8"/>
        <v>-8400.0000000000018</v>
      </c>
      <c r="H35" s="48">
        <f t="shared" si="8"/>
        <v>-8400.0000000000018</v>
      </c>
      <c r="I35" s="48">
        <f t="shared" si="8"/>
        <v>-8400.0000000000018</v>
      </c>
      <c r="J35" s="48">
        <f t="shared" si="8"/>
        <v>-8400.0000000000018</v>
      </c>
      <c r="K35" s="48">
        <f t="shared" si="8"/>
        <v>-8400.0000000000018</v>
      </c>
      <c r="L35" s="48">
        <f t="shared" si="8"/>
        <v>-8400.0000000000018</v>
      </c>
      <c r="M35" s="48">
        <f t="shared" si="8"/>
        <v>-8400.0000000000018</v>
      </c>
      <c r="N35" s="48">
        <f t="shared" si="8"/>
        <v>-8400.0000000000018</v>
      </c>
      <c r="O35" s="48">
        <f t="shared" si="8"/>
        <v>-8400.0000000000018</v>
      </c>
      <c r="P35" s="48">
        <f t="shared" si="8"/>
        <v>-8400.0000000000018</v>
      </c>
      <c r="Q35" s="48">
        <f t="shared" si="8"/>
        <v>-8400.0000000000018</v>
      </c>
      <c r="R35" s="48">
        <f t="shared" si="8"/>
        <v>-8400.0000000000018</v>
      </c>
      <c r="S35" s="48">
        <f t="shared" si="8"/>
        <v>-8400.0000000000018</v>
      </c>
      <c r="T35" s="48">
        <f t="shared" si="8"/>
        <v>-8400.0000000000018</v>
      </c>
      <c r="U35" s="48">
        <f t="shared" si="8"/>
        <v>-8400.0000000000018</v>
      </c>
      <c r="V35" s="48">
        <f t="shared" si="8"/>
        <v>-8400.0000000000018</v>
      </c>
      <c r="W35" s="48">
        <f t="shared" si="8"/>
        <v>-8400.0000000000018</v>
      </c>
    </row>
    <row r="36" spans="2:23" x14ac:dyDescent="0.25">
      <c r="B36" s="32" t="s">
        <v>18</v>
      </c>
      <c r="D36" s="35">
        <f>-$D$20*$D$5*$D$18</f>
        <v>-8400.0000000000018</v>
      </c>
      <c r="E36" s="35">
        <f t="shared" ref="E36:W36" si="9">-$D$20*$D$5*$D$18</f>
        <v>-8400.0000000000018</v>
      </c>
      <c r="F36" s="35">
        <f t="shared" si="9"/>
        <v>-8400.0000000000018</v>
      </c>
      <c r="G36" s="35">
        <f t="shared" si="9"/>
        <v>-8400.0000000000018</v>
      </c>
      <c r="H36" s="35">
        <f t="shared" si="9"/>
        <v>-8400.0000000000018</v>
      </c>
      <c r="I36" s="35">
        <f t="shared" si="9"/>
        <v>-8400.0000000000018</v>
      </c>
      <c r="J36" s="35">
        <f t="shared" si="9"/>
        <v>-8400.0000000000018</v>
      </c>
      <c r="K36" s="35">
        <f t="shared" si="9"/>
        <v>-8400.0000000000018</v>
      </c>
      <c r="L36" s="35">
        <f t="shared" si="9"/>
        <v>-8400.0000000000018</v>
      </c>
      <c r="M36" s="35">
        <f t="shared" si="9"/>
        <v>-8400.0000000000018</v>
      </c>
      <c r="N36" s="35">
        <f t="shared" si="9"/>
        <v>-8400.0000000000018</v>
      </c>
      <c r="O36" s="35">
        <f t="shared" si="9"/>
        <v>-8400.0000000000018</v>
      </c>
      <c r="P36" s="35">
        <f t="shared" si="9"/>
        <v>-8400.0000000000018</v>
      </c>
      <c r="Q36" s="35">
        <f t="shared" si="9"/>
        <v>-8400.0000000000018</v>
      </c>
      <c r="R36" s="35">
        <f t="shared" si="9"/>
        <v>-8400.0000000000018</v>
      </c>
      <c r="S36" s="35">
        <f t="shared" si="9"/>
        <v>-8400.0000000000018</v>
      </c>
      <c r="T36" s="35">
        <f t="shared" si="9"/>
        <v>-8400.0000000000018</v>
      </c>
      <c r="U36" s="35">
        <f t="shared" si="9"/>
        <v>-8400.0000000000018</v>
      </c>
      <c r="V36" s="35">
        <f t="shared" si="9"/>
        <v>-8400.0000000000018</v>
      </c>
      <c r="W36" s="35">
        <f t="shared" si="9"/>
        <v>-8400.0000000000018</v>
      </c>
    </row>
    <row r="37" spans="2:23" x14ac:dyDescent="0.25">
      <c r="B37" s="49" t="s">
        <v>36</v>
      </c>
      <c r="C37" s="50"/>
      <c r="D37" s="51">
        <f>D30+D35</f>
        <v>25198.5</v>
      </c>
      <c r="E37" s="51">
        <f t="shared" ref="E37:W37" si="10">E30+E35</f>
        <v>25064.106</v>
      </c>
      <c r="F37" s="51">
        <f t="shared" si="10"/>
        <v>24930.249576000002</v>
      </c>
      <c r="G37" s="51">
        <f t="shared" si="10"/>
        <v>24796.928577696002</v>
      </c>
      <c r="H37" s="51">
        <f t="shared" si="10"/>
        <v>24664.140863385219</v>
      </c>
      <c r="I37" s="51">
        <f t="shared" si="10"/>
        <v>24531.884299931677</v>
      </c>
      <c r="J37" s="51">
        <f t="shared" si="10"/>
        <v>24400.15676273196</v>
      </c>
      <c r="K37" s="51">
        <f t="shared" si="10"/>
        <v>24268.956135681023</v>
      </c>
      <c r="L37" s="51">
        <f t="shared" si="10"/>
        <v>24138.280311138296</v>
      </c>
      <c r="M37" s="51">
        <f t="shared" si="10"/>
        <v>24008.127189893748</v>
      </c>
      <c r="N37" s="51">
        <f t="shared" si="10"/>
        <v>23878.494681134172</v>
      </c>
      <c r="O37" s="51">
        <f t="shared" si="10"/>
        <v>23749.380702409631</v>
      </c>
      <c r="P37" s="51">
        <f t="shared" si="10"/>
        <v>23620.783179599995</v>
      </c>
      <c r="Q37" s="51">
        <f t="shared" si="10"/>
        <v>23492.70004688159</v>
      </c>
      <c r="R37" s="51">
        <f t="shared" si="10"/>
        <v>23365.129246694065</v>
      </c>
      <c r="S37" s="51">
        <f t="shared" si="10"/>
        <v>23238.068729707295</v>
      </c>
      <c r="T37" s="51">
        <f t="shared" si="10"/>
        <v>23111.516454788456</v>
      </c>
      <c r="U37" s="51">
        <f t="shared" si="10"/>
        <v>22985.470388969305</v>
      </c>
      <c r="V37" s="51">
        <f t="shared" si="10"/>
        <v>22859.928507413431</v>
      </c>
      <c r="W37" s="51">
        <f t="shared" si="10"/>
        <v>22734.888793383776</v>
      </c>
    </row>
    <row r="38" spans="2:23" x14ac:dyDescent="0.25">
      <c r="B38" s="32" t="s">
        <v>37</v>
      </c>
      <c r="D38" s="35">
        <f>-$E$18/$D$9</f>
        <v>-7200</v>
      </c>
      <c r="E38" s="35">
        <f t="shared" ref="E38:W38" si="11">-$E$18/$D$9</f>
        <v>-7200</v>
      </c>
      <c r="F38" s="35">
        <f t="shared" si="11"/>
        <v>-7200</v>
      </c>
      <c r="G38" s="35">
        <f t="shared" si="11"/>
        <v>-7200</v>
      </c>
      <c r="H38" s="35">
        <f t="shared" si="11"/>
        <v>-7200</v>
      </c>
      <c r="I38" s="35">
        <f t="shared" si="11"/>
        <v>-7200</v>
      </c>
      <c r="J38" s="35">
        <f t="shared" si="11"/>
        <v>-7200</v>
      </c>
      <c r="K38" s="35">
        <f t="shared" si="11"/>
        <v>-7200</v>
      </c>
      <c r="L38" s="35">
        <f t="shared" si="11"/>
        <v>-7200</v>
      </c>
      <c r="M38" s="35">
        <f t="shared" si="11"/>
        <v>-7200</v>
      </c>
      <c r="N38" s="35">
        <f t="shared" si="11"/>
        <v>-7200</v>
      </c>
      <c r="O38" s="35">
        <f t="shared" si="11"/>
        <v>-7200</v>
      </c>
      <c r="P38" s="35">
        <f t="shared" si="11"/>
        <v>-7200</v>
      </c>
      <c r="Q38" s="35">
        <f t="shared" si="11"/>
        <v>-7200</v>
      </c>
      <c r="R38" s="35">
        <f t="shared" si="11"/>
        <v>-7200</v>
      </c>
      <c r="S38" s="35">
        <f t="shared" si="11"/>
        <v>-7200</v>
      </c>
      <c r="T38" s="35">
        <f t="shared" si="11"/>
        <v>-7200</v>
      </c>
      <c r="U38" s="35">
        <f t="shared" si="11"/>
        <v>-7200</v>
      </c>
      <c r="V38" s="35">
        <f t="shared" si="11"/>
        <v>-7200</v>
      </c>
      <c r="W38" s="35">
        <f t="shared" si="11"/>
        <v>-7200</v>
      </c>
    </row>
    <row r="39" spans="2:23" x14ac:dyDescent="0.25">
      <c r="B39" s="49" t="s">
        <v>40</v>
      </c>
      <c r="C39" s="50"/>
      <c r="D39" s="51">
        <f>D37+D38</f>
        <v>17998.5</v>
      </c>
      <c r="E39" s="51">
        <f t="shared" ref="E39:W39" si="12">E37+E38</f>
        <v>17864.106</v>
      </c>
      <c r="F39" s="51">
        <f t="shared" si="12"/>
        <v>17730.249576000002</v>
      </c>
      <c r="G39" s="51">
        <f t="shared" si="12"/>
        <v>17596.928577696002</v>
      </c>
      <c r="H39" s="51">
        <f t="shared" si="12"/>
        <v>17464.140863385219</v>
      </c>
      <c r="I39" s="51">
        <f t="shared" si="12"/>
        <v>17331.884299931677</v>
      </c>
      <c r="J39" s="51">
        <f t="shared" si="12"/>
        <v>17200.15676273196</v>
      </c>
      <c r="K39" s="51">
        <f t="shared" si="12"/>
        <v>17068.956135681023</v>
      </c>
      <c r="L39" s="51">
        <f t="shared" si="12"/>
        <v>16938.280311138296</v>
      </c>
      <c r="M39" s="51">
        <f t="shared" si="12"/>
        <v>16808.127189893748</v>
      </c>
      <c r="N39" s="51">
        <f t="shared" si="12"/>
        <v>16678.494681134172</v>
      </c>
      <c r="O39" s="51">
        <f t="shared" si="12"/>
        <v>16549.380702409631</v>
      </c>
      <c r="P39" s="51">
        <f t="shared" si="12"/>
        <v>16420.783179599995</v>
      </c>
      <c r="Q39" s="51">
        <f t="shared" si="12"/>
        <v>16292.70004688159</v>
      </c>
      <c r="R39" s="51">
        <f t="shared" si="12"/>
        <v>16165.129246694065</v>
      </c>
      <c r="S39" s="51">
        <f t="shared" si="12"/>
        <v>16038.068729707295</v>
      </c>
      <c r="T39" s="51">
        <f t="shared" si="12"/>
        <v>15911.516454788456</v>
      </c>
      <c r="U39" s="51">
        <f t="shared" si="12"/>
        <v>15785.470388969305</v>
      </c>
      <c r="V39" s="51">
        <f t="shared" si="12"/>
        <v>15659.928507413431</v>
      </c>
      <c r="W39" s="51">
        <f t="shared" si="12"/>
        <v>15534.888793383776</v>
      </c>
    </row>
    <row r="40" spans="2:23" x14ac:dyDescent="0.25">
      <c r="B40" s="32" t="s">
        <v>41</v>
      </c>
      <c r="D40" s="35">
        <f>-D39*$D$21+D33*$D$21+D32*$D$21</f>
        <v>-560.28000000000065</v>
      </c>
      <c r="E40" s="35">
        <f t="shared" ref="E40:W40" si="13">-E39*$D$21+E33*$D$21+E32*$D$21</f>
        <v>-540.56688000000031</v>
      </c>
      <c r="F40" s="35">
        <f t="shared" si="13"/>
        <v>-520.93261247999999</v>
      </c>
      <c r="G40" s="35">
        <f t="shared" si="13"/>
        <v>-501.37688203008111</v>
      </c>
      <c r="H40" s="35">
        <f t="shared" si="13"/>
        <v>-481.89937450196066</v>
      </c>
      <c r="I40" s="35">
        <f t="shared" si="13"/>
        <v>-462.49977700395175</v>
      </c>
      <c r="J40" s="35">
        <f t="shared" si="13"/>
        <v>-443.17777789593856</v>
      </c>
      <c r="K40" s="35">
        <f t="shared" si="13"/>
        <v>-423.93306678435238</v>
      </c>
      <c r="L40" s="35">
        <f t="shared" si="13"/>
        <v>-404.76533451721571</v>
      </c>
      <c r="M40" s="35">
        <f t="shared" si="13"/>
        <v>-385.67427317914735</v>
      </c>
      <c r="N40" s="35">
        <f t="shared" si="13"/>
        <v>-366.65957608643021</v>
      </c>
      <c r="O40" s="35">
        <f t="shared" si="13"/>
        <v>-347.72093778208364</v>
      </c>
      <c r="P40" s="35">
        <f t="shared" si="13"/>
        <v>-328.85805403095583</v>
      </c>
      <c r="Q40" s="35">
        <f t="shared" si="13"/>
        <v>-310.0706218148307</v>
      </c>
      <c r="R40" s="35">
        <f t="shared" si="13"/>
        <v>-291.35833932757214</v>
      </c>
      <c r="S40" s="35">
        <f t="shared" si="13"/>
        <v>-272.72090597026272</v>
      </c>
      <c r="T40" s="35">
        <f t="shared" si="13"/>
        <v>-254.15802234637977</v>
      </c>
      <c r="U40" s="35">
        <f t="shared" si="13"/>
        <v>-235.66939025699412</v>
      </c>
      <c r="V40" s="35">
        <f t="shared" si="13"/>
        <v>-217.2547126959671</v>
      </c>
      <c r="W40" s="35">
        <f t="shared" si="13"/>
        <v>-198.91369384518384</v>
      </c>
    </row>
    <row r="41" spans="2:23" x14ac:dyDescent="0.25">
      <c r="B41" s="49" t="s">
        <v>43</v>
      </c>
      <c r="C41" s="50"/>
      <c r="D41" s="51">
        <f>D39+D40</f>
        <v>17438.22</v>
      </c>
      <c r="E41" s="51">
        <f t="shared" ref="E41:W41" si="14">E39+E40</f>
        <v>17323.539120000001</v>
      </c>
      <c r="F41" s="51">
        <f t="shared" si="14"/>
        <v>17209.316963520003</v>
      </c>
      <c r="G41" s="51">
        <f t="shared" si="14"/>
        <v>17095.551695665919</v>
      </c>
      <c r="H41" s="51">
        <f t="shared" si="14"/>
        <v>16982.241488883257</v>
      </c>
      <c r="I41" s="51">
        <f t="shared" si="14"/>
        <v>16869.384522927725</v>
      </c>
      <c r="J41" s="51">
        <f t="shared" si="14"/>
        <v>16756.978984836023</v>
      </c>
      <c r="K41" s="51">
        <f t="shared" si="14"/>
        <v>16645.023068896669</v>
      </c>
      <c r="L41" s="51">
        <f t="shared" si="14"/>
        <v>16533.514976621082</v>
      </c>
      <c r="M41" s="51">
        <f t="shared" si="14"/>
        <v>16422.452916714603</v>
      </c>
      <c r="N41" s="51">
        <f t="shared" si="14"/>
        <v>16311.835105047743</v>
      </c>
      <c r="O41" s="51">
        <f t="shared" si="14"/>
        <v>16201.659764627548</v>
      </c>
      <c r="P41" s="51">
        <f t="shared" si="14"/>
        <v>16091.92512556904</v>
      </c>
      <c r="Q41" s="51">
        <f t="shared" si="14"/>
        <v>15982.62942506676</v>
      </c>
      <c r="R41" s="51">
        <f t="shared" si="14"/>
        <v>15873.770907366492</v>
      </c>
      <c r="S41" s="51">
        <f t="shared" si="14"/>
        <v>15765.347823737033</v>
      </c>
      <c r="T41" s="51">
        <f t="shared" si="14"/>
        <v>15657.358432442077</v>
      </c>
      <c r="U41" s="51">
        <f t="shared" si="14"/>
        <v>15549.800998712311</v>
      </c>
      <c r="V41" s="51">
        <f t="shared" si="14"/>
        <v>15442.673794717464</v>
      </c>
      <c r="W41" s="51">
        <f t="shared" si="14"/>
        <v>15335.975099538591</v>
      </c>
    </row>
    <row r="42" spans="2:23" x14ac:dyDescent="0.25">
      <c r="D42" s="38">
        <f>D41/D30</f>
        <v>0.51901781329523644</v>
      </c>
      <c r="E42" s="38">
        <f t="shared" ref="E42:W42" si="15">E41/E30</f>
        <v>0.51767524045017077</v>
      </c>
      <c r="F42" s="38">
        <f t="shared" si="15"/>
        <v>0.51632727574628956</v>
      </c>
      <c r="G42" s="38">
        <f t="shared" si="15"/>
        <v>0.51497389752954126</v>
      </c>
      <c r="H42" s="38">
        <f t="shared" si="15"/>
        <v>0.51361508405891054</v>
      </c>
      <c r="I42" s="38">
        <f t="shared" si="15"/>
        <v>0.51225081350606849</v>
      </c>
      <c r="J42" s="38">
        <f t="shared" si="15"/>
        <v>0.51088106395502231</v>
      </c>
      <c r="K42" s="38">
        <f t="shared" si="15"/>
        <v>0.50950581340176282</v>
      </c>
      <c r="L42" s="38">
        <f t="shared" si="15"/>
        <v>0.50812503975391199</v>
      </c>
      <c r="M42" s="38">
        <f t="shared" si="15"/>
        <v>0.50673872083036731</v>
      </c>
      <c r="N42" s="38">
        <f t="shared" si="15"/>
        <v>0.50534683436094463</v>
      </c>
      <c r="O42" s="38">
        <f t="shared" si="15"/>
        <v>0.50394935798602225</v>
      </c>
      <c r="P42" s="38">
        <f t="shared" si="15"/>
        <v>0.50254626925618062</v>
      </c>
      <c r="Q42" s="38">
        <f t="shared" si="15"/>
        <v>0.50113754563184154</v>
      </c>
      <c r="R42" s="38">
        <f t="shared" si="15"/>
        <v>0.49972316448290682</v>
      </c>
      <c r="S42" s="38">
        <f t="shared" si="15"/>
        <v>0.49830310308839415</v>
      </c>
      <c r="T42" s="38">
        <f t="shared" si="15"/>
        <v>0.49687733863607192</v>
      </c>
      <c r="U42" s="38">
        <f t="shared" si="15"/>
        <v>0.49544584822209392</v>
      </c>
      <c r="V42" s="38">
        <f t="shared" si="15"/>
        <v>0.49400860885063014</v>
      </c>
      <c r="W42" s="38">
        <f t="shared" si="15"/>
        <v>0.49256559743349765</v>
      </c>
    </row>
    <row r="44" spans="2:23" x14ac:dyDescent="0.25">
      <c r="B44" s="54" t="s">
        <v>46</v>
      </c>
      <c r="C44" s="55">
        <v>0</v>
      </c>
      <c r="D44" s="55">
        <v>1</v>
      </c>
      <c r="E44" s="55">
        <v>2</v>
      </c>
      <c r="F44" s="55">
        <v>3</v>
      </c>
      <c r="G44" s="55">
        <v>4</v>
      </c>
      <c r="H44" s="55">
        <v>5</v>
      </c>
      <c r="I44" s="55">
        <v>6</v>
      </c>
      <c r="J44" s="55">
        <v>7</v>
      </c>
      <c r="K44" s="55">
        <v>8</v>
      </c>
      <c r="L44" s="55">
        <v>9</v>
      </c>
      <c r="M44" s="55">
        <v>10</v>
      </c>
      <c r="N44" s="55">
        <v>11</v>
      </c>
      <c r="O44" s="55">
        <v>12</v>
      </c>
      <c r="P44" s="55">
        <v>13</v>
      </c>
      <c r="Q44" s="55">
        <v>14</v>
      </c>
      <c r="R44" s="55">
        <v>15</v>
      </c>
      <c r="S44" s="55">
        <v>16</v>
      </c>
      <c r="T44" s="55">
        <v>17</v>
      </c>
      <c r="U44" s="55">
        <v>18</v>
      </c>
      <c r="V44" s="55">
        <v>19</v>
      </c>
      <c r="W44" s="55">
        <v>20</v>
      </c>
    </row>
    <row r="45" spans="2:23" x14ac:dyDescent="0.25">
      <c r="B45" s="32" t="s">
        <v>36</v>
      </c>
      <c r="D45" s="35">
        <f>D37</f>
        <v>25198.5</v>
      </c>
      <c r="E45" s="35">
        <f t="shared" ref="E45:W45" si="16">E37</f>
        <v>25064.106</v>
      </c>
      <c r="F45" s="35">
        <f t="shared" si="16"/>
        <v>24930.249576000002</v>
      </c>
      <c r="G45" s="35">
        <f t="shared" si="16"/>
        <v>24796.928577696002</v>
      </c>
      <c r="H45" s="35">
        <f t="shared" si="16"/>
        <v>24664.140863385219</v>
      </c>
      <c r="I45" s="35">
        <f t="shared" si="16"/>
        <v>24531.884299931677</v>
      </c>
      <c r="J45" s="35">
        <f t="shared" si="16"/>
        <v>24400.15676273196</v>
      </c>
      <c r="K45" s="35">
        <f t="shared" si="16"/>
        <v>24268.956135681023</v>
      </c>
      <c r="L45" s="35">
        <f t="shared" si="16"/>
        <v>24138.280311138296</v>
      </c>
      <c r="M45" s="35">
        <f t="shared" si="16"/>
        <v>24008.127189893748</v>
      </c>
      <c r="N45" s="35">
        <f t="shared" si="16"/>
        <v>23878.494681134172</v>
      </c>
      <c r="O45" s="35">
        <f t="shared" si="16"/>
        <v>23749.380702409631</v>
      </c>
      <c r="P45" s="35">
        <f t="shared" si="16"/>
        <v>23620.783179599995</v>
      </c>
      <c r="Q45" s="35">
        <f t="shared" si="16"/>
        <v>23492.70004688159</v>
      </c>
      <c r="R45" s="35">
        <f t="shared" si="16"/>
        <v>23365.129246694065</v>
      </c>
      <c r="S45" s="35">
        <f t="shared" si="16"/>
        <v>23238.068729707295</v>
      </c>
      <c r="T45" s="35">
        <f t="shared" si="16"/>
        <v>23111.516454788456</v>
      </c>
      <c r="U45" s="35">
        <f t="shared" si="16"/>
        <v>22985.470388969305</v>
      </c>
      <c r="V45" s="35">
        <f t="shared" si="16"/>
        <v>22859.928507413431</v>
      </c>
      <c r="W45" s="35">
        <f t="shared" si="16"/>
        <v>22734.888793383776</v>
      </c>
    </row>
    <row r="46" spans="2:23" x14ac:dyDescent="0.25">
      <c r="B46" s="32" t="s">
        <v>41</v>
      </c>
      <c r="D46" s="35">
        <f>D40</f>
        <v>-560.28000000000065</v>
      </c>
      <c r="E46" s="35">
        <f t="shared" ref="E46:W46" si="17">E40</f>
        <v>-540.56688000000031</v>
      </c>
      <c r="F46" s="35">
        <f t="shared" si="17"/>
        <v>-520.93261247999999</v>
      </c>
      <c r="G46" s="35">
        <f t="shared" si="17"/>
        <v>-501.37688203008111</v>
      </c>
      <c r="H46" s="35">
        <f t="shared" si="17"/>
        <v>-481.89937450196066</v>
      </c>
      <c r="I46" s="35">
        <f t="shared" si="17"/>
        <v>-462.49977700395175</v>
      </c>
      <c r="J46" s="35">
        <f t="shared" si="17"/>
        <v>-443.17777789593856</v>
      </c>
      <c r="K46" s="35">
        <f t="shared" si="17"/>
        <v>-423.93306678435238</v>
      </c>
      <c r="L46" s="35">
        <f t="shared" si="17"/>
        <v>-404.76533451721571</v>
      </c>
      <c r="M46" s="35">
        <f t="shared" si="17"/>
        <v>-385.67427317914735</v>
      </c>
      <c r="N46" s="35">
        <f t="shared" si="17"/>
        <v>-366.65957608643021</v>
      </c>
      <c r="O46" s="35">
        <f t="shared" si="17"/>
        <v>-347.72093778208364</v>
      </c>
      <c r="P46" s="35">
        <f t="shared" si="17"/>
        <v>-328.85805403095583</v>
      </c>
      <c r="Q46" s="35">
        <f t="shared" si="17"/>
        <v>-310.0706218148307</v>
      </c>
      <c r="R46" s="35">
        <f t="shared" si="17"/>
        <v>-291.35833932757214</v>
      </c>
      <c r="S46" s="35">
        <f t="shared" si="17"/>
        <v>-272.72090597026272</v>
      </c>
      <c r="T46" s="35">
        <f t="shared" si="17"/>
        <v>-254.15802234637977</v>
      </c>
      <c r="U46" s="35">
        <f t="shared" si="17"/>
        <v>-235.66939025699412</v>
      </c>
      <c r="V46" s="35">
        <f t="shared" si="17"/>
        <v>-217.2547126959671</v>
      </c>
      <c r="W46" s="35">
        <f t="shared" si="17"/>
        <v>-198.91369384518384</v>
      </c>
    </row>
    <row r="47" spans="2:23" x14ac:dyDescent="0.25">
      <c r="B47" s="32" t="s">
        <v>45</v>
      </c>
      <c r="C47" s="35">
        <f>-E18</f>
        <v>-144000</v>
      </c>
    </row>
    <row r="48" spans="2:23" x14ac:dyDescent="0.25">
      <c r="B48" s="49" t="s">
        <v>44</v>
      </c>
      <c r="C48" s="51">
        <f t="shared" ref="C48" si="18">SUM(C45:C47)</f>
        <v>-144000</v>
      </c>
      <c r="D48" s="51">
        <f>SUM(D45:D47)</f>
        <v>24638.22</v>
      </c>
      <c r="E48" s="51">
        <f t="shared" ref="E48:W48" si="19">SUM(E45:E47)</f>
        <v>24523.539120000001</v>
      </c>
      <c r="F48" s="51">
        <f t="shared" si="19"/>
        <v>24409.316963520003</v>
      </c>
      <c r="G48" s="51">
        <f t="shared" si="19"/>
        <v>24295.551695665919</v>
      </c>
      <c r="H48" s="51">
        <f t="shared" si="19"/>
        <v>24182.241488883257</v>
      </c>
      <c r="I48" s="51">
        <f t="shared" si="19"/>
        <v>24069.384522927725</v>
      </c>
      <c r="J48" s="51">
        <f t="shared" si="19"/>
        <v>23956.978984836023</v>
      </c>
      <c r="K48" s="51">
        <f t="shared" si="19"/>
        <v>23845.023068896669</v>
      </c>
      <c r="L48" s="51">
        <f t="shared" si="19"/>
        <v>23733.514976621082</v>
      </c>
      <c r="M48" s="51">
        <f t="shared" si="19"/>
        <v>23622.452916714603</v>
      </c>
      <c r="N48" s="51">
        <f t="shared" si="19"/>
        <v>23511.835105047743</v>
      </c>
      <c r="O48" s="51">
        <f t="shared" si="19"/>
        <v>23401.659764627548</v>
      </c>
      <c r="P48" s="51">
        <f t="shared" si="19"/>
        <v>23291.92512556904</v>
      </c>
      <c r="Q48" s="51">
        <f t="shared" si="19"/>
        <v>23182.62942506676</v>
      </c>
      <c r="R48" s="51">
        <f t="shared" si="19"/>
        <v>23073.770907366492</v>
      </c>
      <c r="S48" s="51">
        <f t="shared" si="19"/>
        <v>22965.347823737033</v>
      </c>
      <c r="T48" s="51">
        <f t="shared" si="19"/>
        <v>22857.358432442077</v>
      </c>
      <c r="U48" s="51">
        <f t="shared" si="19"/>
        <v>22749.800998712311</v>
      </c>
      <c r="V48" s="51">
        <f t="shared" si="19"/>
        <v>22642.673794717462</v>
      </c>
      <c r="W48" s="51">
        <f t="shared" si="19"/>
        <v>22535.975099538591</v>
      </c>
    </row>
    <row r="49" spans="2:23" x14ac:dyDescent="0.25">
      <c r="C49" s="35">
        <f t="shared" ref="C49" si="20">C48</f>
        <v>-144000</v>
      </c>
      <c r="D49" s="35">
        <f t="shared" ref="D49:W49" si="21">C49+D48</f>
        <v>-119361.78</v>
      </c>
      <c r="E49" s="35">
        <f t="shared" si="21"/>
        <v>-94838.240879999998</v>
      </c>
      <c r="F49" s="35">
        <f t="shared" si="21"/>
        <v>-70428.923916479995</v>
      </c>
      <c r="G49" s="35">
        <f t="shared" si="21"/>
        <v>-46133.372220814075</v>
      </c>
      <c r="H49" s="35">
        <f t="shared" si="21"/>
        <v>-21951.130731930818</v>
      </c>
      <c r="I49" s="35">
        <f t="shared" si="21"/>
        <v>2118.2537909969069</v>
      </c>
      <c r="J49" s="35">
        <f t="shared" si="21"/>
        <v>26075.23277583293</v>
      </c>
      <c r="K49" s="35">
        <f t="shared" si="21"/>
        <v>49920.255844729603</v>
      </c>
      <c r="L49" s="35">
        <f t="shared" si="21"/>
        <v>73653.770821350685</v>
      </c>
      <c r="M49" s="35">
        <f t="shared" si="21"/>
        <v>97276.22373806528</v>
      </c>
      <c r="N49" s="35">
        <f t="shared" si="21"/>
        <v>120788.05884311302</v>
      </c>
      <c r="O49" s="35">
        <f t="shared" si="21"/>
        <v>144189.71860774056</v>
      </c>
      <c r="P49" s="35">
        <f t="shared" si="21"/>
        <v>167481.64373330961</v>
      </c>
      <c r="Q49" s="35">
        <f t="shared" si="21"/>
        <v>190664.27315837637</v>
      </c>
      <c r="R49" s="35">
        <f t="shared" si="21"/>
        <v>213738.04406574287</v>
      </c>
      <c r="S49" s="35">
        <f t="shared" si="21"/>
        <v>236703.39188947991</v>
      </c>
      <c r="T49" s="35">
        <f t="shared" si="21"/>
        <v>259560.75032192198</v>
      </c>
      <c r="U49" s="35">
        <f t="shared" si="21"/>
        <v>282310.55132063432</v>
      </c>
      <c r="V49" s="35">
        <f t="shared" si="21"/>
        <v>304953.22511535179</v>
      </c>
      <c r="W49" s="35">
        <f t="shared" si="21"/>
        <v>327489.20021489036</v>
      </c>
    </row>
    <row r="51" spans="2:23" x14ac:dyDescent="0.25">
      <c r="B51" s="27" t="s">
        <v>47</v>
      </c>
      <c r="C51" s="52">
        <f>E18/D48</f>
        <v>5.8445780579928259</v>
      </c>
    </row>
    <row r="52" spans="2:23" x14ac:dyDescent="0.25">
      <c r="B52" s="27" t="s">
        <v>48</v>
      </c>
      <c r="C52" s="59">
        <f>IRR(C48:W48)</f>
        <v>0.15816712235330299</v>
      </c>
    </row>
    <row r="53" spans="2:23" x14ac:dyDescent="0.25">
      <c r="B53" s="27"/>
    </row>
  </sheetData>
  <pageMargins left="0.7" right="0.7" top="0.75" bottom="0.75" header="0.3" footer="0.3"/>
  <pageSetup paperSize="9" orientation="portrait" r:id="rId1"/>
  <ignoredErrors>
    <ignoredError sqref="D40:W4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AD4B019B6B6E41A07D2EE5B44EF74F" ma:contentTypeVersion="15" ma:contentTypeDescription="Creare un nuovo documento." ma:contentTypeScope="" ma:versionID="12d87e1d811897a2655db72bc2f3cbed">
  <xsd:schema xmlns:xsd="http://www.w3.org/2001/XMLSchema" xmlns:xs="http://www.w3.org/2001/XMLSchema" xmlns:p="http://schemas.microsoft.com/office/2006/metadata/properties" xmlns:ns2="b846fedb-687a-4210-9dfd-5b5f613d62eb" xmlns:ns3="d3eb2d58-7c60-4f94-94c8-2b4dbd56d3d5" targetNamespace="http://schemas.microsoft.com/office/2006/metadata/properties" ma:root="true" ma:fieldsID="819535bc00ad1587ee2a5af7b7e41533" ns2:_="" ns3:_="">
    <xsd:import namespace="b846fedb-687a-4210-9dfd-5b5f613d62eb"/>
    <xsd:import namespace="d3eb2d58-7c60-4f94-94c8-2b4dbd56d3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6fedb-687a-4210-9dfd-5b5f613d62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1b46086c-f08b-4e64-9846-8fb6c45b7c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b2d58-7c60-4f94-94c8-2b4dbd56d3d5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c769f5a-3f45-4639-bb2a-59bc5d286d24}" ma:internalName="TaxCatchAll" ma:showField="CatchAllData" ma:web="d3eb2d58-7c60-4f94-94c8-2b4dbd56d3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eb2d58-7c60-4f94-94c8-2b4dbd56d3d5" xsi:nil="true"/>
    <lcf76f155ced4ddcb4097134ff3c332f xmlns="b846fedb-687a-4210-9dfd-5b5f613d62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B901F62-91C1-4D23-8426-4754E42FDC99}"/>
</file>

<file path=customXml/itemProps2.xml><?xml version="1.0" encoding="utf-8"?>
<ds:datastoreItem xmlns:ds="http://schemas.openxmlformats.org/officeDocument/2006/customXml" ds:itemID="{8AC1109A-1AB4-4B9A-8A9A-AE01BD3CD499}"/>
</file>

<file path=customXml/itemProps3.xml><?xml version="1.0" encoding="utf-8"?>
<ds:datastoreItem xmlns:ds="http://schemas.openxmlformats.org/officeDocument/2006/customXml" ds:itemID="{D6FD198D-CD4D-443B-A100-B28785F2FD36}"/>
</file>

<file path=customXml/itemProps4.xml><?xml version="1.0" encoding="utf-8"?>
<ds:datastoreItem xmlns:ds="http://schemas.openxmlformats.org/officeDocument/2006/customXml" ds:itemID="{688B85D4-5E48-45E0-A43B-20CB2F1D86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Esempio_1</vt:lpstr>
      <vt:lpstr>Intro</vt:lpstr>
      <vt:lpstr>1.i Finanziamento membri</vt:lpstr>
      <vt:lpstr>1.ii Finanziamento membri+debt</vt:lpstr>
      <vt:lpstr>2. Finanziamento Terzo</vt:lpstr>
      <vt:lpstr>3. Finanziamento PNRR</vt:lpstr>
      <vt:lpstr>Curva prezzo EE</vt:lpstr>
      <vt:lpstr>Esempio_2_RSE_PNRR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Maddiotto, Davide</dc:creator>
  <cp:lastModifiedBy>Modolo Roberta</cp:lastModifiedBy>
  <dcterms:created xsi:type="dcterms:W3CDTF">2015-06-05T18:17:20Z</dcterms:created>
  <dcterms:modified xsi:type="dcterms:W3CDTF">2023-06-13T11:29:58Z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0x0101009DDB604044FB4A438984B32B19D9D623</vt:lpwstr>
  </property>
</Properties>
</file>